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5.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6.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3"/>
  <workbookPr/>
  <mc:AlternateContent xmlns:mc="http://schemas.openxmlformats.org/markup-compatibility/2006">
    <mc:Choice Requires="x15">
      <x15ac:absPath xmlns:x15ac="http://schemas.microsoft.com/office/spreadsheetml/2010/11/ac" url="/Users/shaytsaban/Documents/OpenU 10708/2025 B/"/>
    </mc:Choice>
  </mc:AlternateContent>
  <xr:revisionPtr revIDLastSave="0" documentId="13_ncr:1_{82B2ADB4-6C80-EA4C-B256-25A5AE00402A}" xr6:coauthVersionLast="47" xr6:coauthVersionMax="47" xr10:uidLastSave="{00000000-0000-0000-0000-000000000000}"/>
  <bookViews>
    <workbookView xWindow="-780" yWindow="500" windowWidth="28940" windowHeight="17100" activeTab="3" xr2:uid="{00000000-000D-0000-FFFF-FFFF00000000}"/>
  </bookViews>
  <sheets>
    <sheet name="1" sheetId="1" r:id="rId1"/>
    <sheet name="2" sheetId="3" r:id="rId2"/>
    <sheet name="2ב" sheetId="4" r:id="rId3"/>
    <sheet name="3" sheetId="5" r:id="rId4"/>
    <sheet name="4" sheetId="8" r:id="rId5"/>
    <sheet name="6" sheetId="6" r:id="rId6"/>
    <sheet name="7" sheetId="7" r:id="rId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25" i="8" l="1"/>
  <c r="E119" i="8"/>
  <c r="E110" i="8"/>
  <c r="D88" i="8"/>
  <c r="D86" i="8"/>
  <c r="D87" i="8" s="1"/>
  <c r="G55" i="8" s="1"/>
  <c r="D81" i="8"/>
  <c r="F55" i="8" s="1"/>
  <c r="E98" i="8" s="1"/>
  <c r="G80" i="8"/>
  <c r="H70" i="8"/>
  <c r="E68" i="8"/>
  <c r="H68" i="8" s="1"/>
  <c r="E118" i="8" s="1"/>
  <c r="D68" i="8"/>
  <c r="C68" i="8"/>
  <c r="J66" i="8"/>
  <c r="D66" i="8"/>
  <c r="C66" i="8"/>
  <c r="E66" i="8" s="1"/>
  <c r="H64" i="8"/>
  <c r="E117" i="8" s="1"/>
  <c r="H62" i="8"/>
  <c r="H71" i="8" s="1"/>
  <c r="D62" i="8"/>
  <c r="C62" i="8"/>
  <c r="E62" i="8" s="1"/>
  <c r="D60" i="8"/>
  <c r="C60" i="8"/>
  <c r="E60" i="8" s="1"/>
  <c r="F60" i="8" s="1"/>
  <c r="E105" i="8" s="1"/>
  <c r="E58" i="8"/>
  <c r="D58" i="8"/>
  <c r="C58" i="8"/>
  <c r="G57" i="8"/>
  <c r="E112" i="8" s="1"/>
  <c r="F57" i="8"/>
  <c r="E99" i="8" s="1"/>
  <c r="D55" i="8"/>
  <c r="E55" i="8" s="1"/>
  <c r="C55" i="8"/>
  <c r="J53" i="8"/>
  <c r="J71" i="8" s="1"/>
  <c r="G53" i="8"/>
  <c r="E53" i="8"/>
  <c r="E51" i="8"/>
  <c r="F51" i="8" s="1"/>
  <c r="E104" i="8" s="1"/>
  <c r="E49" i="8"/>
  <c r="E71" i="8" s="1"/>
  <c r="F47" i="8"/>
  <c r="E102" i="8" s="1"/>
  <c r="E47" i="8"/>
  <c r="E45" i="8"/>
  <c r="I45" i="8" s="1"/>
  <c r="I71" i="8" s="1"/>
  <c r="D28" i="8"/>
  <c r="D70" i="8" s="1"/>
  <c r="D71" i="8" s="1"/>
  <c r="C28" i="8"/>
  <c r="C70" i="8" s="1"/>
  <c r="E70" i="8" s="1"/>
  <c r="F70" i="8" s="1"/>
  <c r="E93" i="8" s="1"/>
  <c r="D20" i="8"/>
  <c r="C20" i="8"/>
  <c r="H609" i="5"/>
  <c r="H608" i="5" s="1"/>
  <c r="C608" i="5" s="1"/>
  <c r="C607" i="5" s="1"/>
  <c r="H606" i="5"/>
  <c r="C609" i="5"/>
  <c r="C606" i="5"/>
  <c r="D600" i="5"/>
  <c r="C600" i="5"/>
  <c r="E600" i="5" s="1"/>
  <c r="E579" i="5"/>
  <c r="E573" i="5"/>
  <c r="F539" i="5"/>
  <c r="E551" i="5" s="1"/>
  <c r="D537" i="5"/>
  <c r="C537" i="5"/>
  <c r="E535" i="5"/>
  <c r="H535" i="5" s="1"/>
  <c r="E533" i="5"/>
  <c r="F533" i="5" s="1"/>
  <c r="E562" i="5" s="1"/>
  <c r="G531" i="5"/>
  <c r="E567" i="5" s="1"/>
  <c r="E568" i="5" s="1"/>
  <c r="F531" i="5"/>
  <c r="E556" i="5" s="1"/>
  <c r="D531" i="5"/>
  <c r="C531" i="5"/>
  <c r="E529" i="5"/>
  <c r="F529" i="5" s="1"/>
  <c r="E561" i="5" s="1"/>
  <c r="E527" i="5"/>
  <c r="F527" i="5" s="1"/>
  <c r="E560" i="5" s="1"/>
  <c r="E525" i="5"/>
  <c r="F525" i="5" s="1"/>
  <c r="E523" i="5"/>
  <c r="I523" i="5" s="1"/>
  <c r="I540" i="5" s="1"/>
  <c r="D483" i="5"/>
  <c r="D490" i="5" s="1"/>
  <c r="C483" i="5"/>
  <c r="C490" i="5" s="1"/>
  <c r="E452" i="5"/>
  <c r="E429" i="5" s="1"/>
  <c r="E431" i="5" s="1"/>
  <c r="E451" i="5"/>
  <c r="D429" i="5" s="1"/>
  <c r="E439" i="5"/>
  <c r="D428" i="5" s="1"/>
  <c r="Q315" i="5"/>
  <c r="K315" i="5"/>
  <c r="R315" i="5"/>
  <c r="Q314" i="5"/>
  <c r="K312" i="5"/>
  <c r="N312" i="5" s="1"/>
  <c r="N311" i="5"/>
  <c r="K311" i="5"/>
  <c r="R310" i="5"/>
  <c r="N345" i="5"/>
  <c r="O328" i="5" s="1"/>
  <c r="Q328" i="5" s="1"/>
  <c r="O327" i="5"/>
  <c r="Q327" i="5" s="1"/>
  <c r="O319" i="5"/>
  <c r="P319" i="5" s="1"/>
  <c r="R317" i="5"/>
  <c r="Q316" i="5"/>
  <c r="N316" i="5" s="1"/>
  <c r="K310" i="5"/>
  <c r="P309" i="5"/>
  <c r="O309" i="5"/>
  <c r="N309" i="5"/>
  <c r="M309" i="5"/>
  <c r="M320" i="5" s="1"/>
  <c r="L309" i="5"/>
  <c r="L311" i="5" s="1"/>
  <c r="K309" i="5"/>
  <c r="F301" i="5"/>
  <c r="R309" i="5" s="1"/>
  <c r="E70" i="5"/>
  <c r="I64" i="5" s="1"/>
  <c r="E68" i="5"/>
  <c r="E48" i="5"/>
  <c r="E46" i="5"/>
  <c r="E45" i="5"/>
  <c r="E44" i="5"/>
  <c r="E42" i="5"/>
  <c r="E41" i="5"/>
  <c r="E40" i="5"/>
  <c r="E38" i="5"/>
  <c r="E37" i="5"/>
  <c r="E36" i="5"/>
  <c r="E34" i="5"/>
  <c r="G71" i="8" l="1"/>
  <c r="E111" i="8"/>
  <c r="E113" i="8" s="1"/>
  <c r="C71" i="8"/>
  <c r="D616" i="5"/>
  <c r="H600" i="5"/>
  <c r="C29" i="8"/>
  <c r="E531" i="5"/>
  <c r="E116" i="8"/>
  <c r="E120" i="8" s="1"/>
  <c r="F49" i="8"/>
  <c r="D29" i="8"/>
  <c r="Q320" i="5"/>
  <c r="G429" i="5"/>
  <c r="D539" i="5"/>
  <c r="D540" i="5" s="1"/>
  <c r="D491" i="5"/>
  <c r="F540" i="5"/>
  <c r="E559" i="5"/>
  <c r="E564" i="5" s="1"/>
  <c r="E571" i="5"/>
  <c r="C539" i="5"/>
  <c r="C491" i="5"/>
  <c r="E537" i="5"/>
  <c r="H537" i="5" s="1"/>
  <c r="E572" i="5" s="1"/>
  <c r="G540" i="5"/>
  <c r="D431" i="5"/>
  <c r="G428" i="5"/>
  <c r="N315" i="5"/>
  <c r="N310" i="5"/>
  <c r="O320" i="5"/>
  <c r="R314" i="5"/>
  <c r="L313" i="5"/>
  <c r="K313" i="5" s="1"/>
  <c r="K320" i="5" s="1"/>
  <c r="N351" i="5" s="1"/>
  <c r="P329" i="5" s="1"/>
  <c r="O330" i="5"/>
  <c r="E47" i="5"/>
  <c r="E39" i="5"/>
  <c r="E69" i="5"/>
  <c r="I62" i="5" s="1"/>
  <c r="E43" i="5"/>
  <c r="E35" i="5"/>
  <c r="E103" i="8" l="1"/>
  <c r="E107" i="8" s="1"/>
  <c r="E124" i="8" s="1"/>
  <c r="E126" i="8" s="1"/>
  <c r="F71" i="8"/>
  <c r="N320" i="5"/>
  <c r="E539" i="5"/>
  <c r="H540" i="5"/>
  <c r="H542" i="5" s="1"/>
  <c r="E540" i="5"/>
  <c r="C540" i="5"/>
  <c r="E574" i="5"/>
  <c r="E578" i="5" s="1"/>
  <c r="E580" i="5" s="1"/>
  <c r="H428" i="5"/>
  <c r="H429" i="5" s="1"/>
  <c r="P330" i="5"/>
  <c r="Q329" i="5"/>
  <c r="Q330" i="5" s="1"/>
  <c r="P318" i="5" s="1"/>
  <c r="L320" i="5"/>
  <c r="F430" i="5" l="1"/>
  <c r="R318" i="5"/>
  <c r="R320" i="5" s="1"/>
  <c r="P320" i="5"/>
  <c r="G430" i="5" l="1"/>
  <c r="F431" i="5"/>
  <c r="G431" i="5" l="1"/>
  <c r="H430" i="5"/>
  <c r="E190" i="5" l="1"/>
  <c r="H221" i="5"/>
  <c r="C222" i="5"/>
  <c r="H222" i="5"/>
  <c r="C223" i="5"/>
  <c r="D223" i="5"/>
  <c r="C224" i="5"/>
  <c r="E224" i="5" s="1"/>
  <c r="D225" i="5"/>
  <c r="C225" i="5" s="1"/>
  <c r="H226" i="5"/>
  <c r="G227" i="5"/>
  <c r="H227" i="5" s="1"/>
  <c r="F228" i="5"/>
  <c r="G228" i="5" s="1"/>
  <c r="G229" i="5" s="1"/>
  <c r="G667" i="3"/>
  <c r="C543" i="3"/>
  <c r="D543" i="3" s="1"/>
  <c r="D613" i="3"/>
  <c r="B653" i="3"/>
  <c r="B654" i="3" s="1"/>
  <c r="B704" i="3"/>
  <c r="B708" i="3" s="1"/>
  <c r="B709" i="3" s="1"/>
  <c r="C717" i="3"/>
  <c r="D717" i="3"/>
  <c r="D719" i="3" s="1"/>
  <c r="E717" i="3"/>
  <c r="E719" i="3" s="1"/>
  <c r="F718" i="3"/>
  <c r="C746" i="3"/>
  <c r="C452" i="3"/>
  <c r="D452" i="3" s="1"/>
  <c r="G459" i="3"/>
  <c r="H459" i="3" s="1"/>
  <c r="G460" i="3"/>
  <c r="H460" i="3" s="1"/>
  <c r="C370" i="3"/>
  <c r="D184" i="3"/>
  <c r="F169" i="3"/>
  <c r="E169" i="3"/>
  <c r="D169" i="3"/>
  <c r="C169" i="3"/>
  <c r="G167" i="3"/>
  <c r="G166" i="3"/>
  <c r="G165" i="3"/>
  <c r="G164" i="3"/>
  <c r="F132" i="3"/>
  <c r="F131" i="3" s="1"/>
  <c r="C51" i="3"/>
  <c r="D1693" i="1"/>
  <c r="E1687" i="1"/>
  <c r="D1658" i="1"/>
  <c r="F1570" i="1"/>
  <c r="C1595" i="1" s="1"/>
  <c r="H1569" i="1"/>
  <c r="C1588" i="1" s="1"/>
  <c r="G1568" i="1"/>
  <c r="G1567" i="1"/>
  <c r="G1566" i="1"/>
  <c r="G1565" i="1"/>
  <c r="C1586" i="1" s="1"/>
  <c r="H1564" i="1"/>
  <c r="H1563" i="1"/>
  <c r="D1643" i="1" s="1"/>
  <c r="H1562" i="1"/>
  <c r="H1561" i="1"/>
  <c r="H1560" i="1"/>
  <c r="H1559" i="1"/>
  <c r="H1558" i="1"/>
  <c r="C1579" i="1" s="1"/>
  <c r="G1557" i="1"/>
  <c r="D1635" i="1" s="1"/>
  <c r="G1556" i="1"/>
  <c r="D1636" i="1" s="1"/>
  <c r="G1555" i="1"/>
  <c r="F1554" i="1"/>
  <c r="K1592" i="1" s="1"/>
  <c r="F1553" i="1"/>
  <c r="K1591" i="1" s="1"/>
  <c r="D1552" i="1"/>
  <c r="E1551" i="1"/>
  <c r="E1550" i="1"/>
  <c r="K1588" i="1" s="1"/>
  <c r="J1603" i="1" s="1"/>
  <c r="E1549" i="1"/>
  <c r="K1581" i="1" s="1"/>
  <c r="E1548" i="1"/>
  <c r="D1713" i="1" s="1"/>
  <c r="D1715" i="1" s="1"/>
  <c r="D1547" i="1"/>
  <c r="D1697" i="1" s="1"/>
  <c r="D1699" i="1" s="1"/>
  <c r="D1546" i="1"/>
  <c r="G1590" i="1" s="1"/>
  <c r="D1545" i="1"/>
  <c r="D1544" i="1"/>
  <c r="G1584" i="1" s="1"/>
  <c r="D1543" i="1"/>
  <c r="D1707" i="1" s="1"/>
  <c r="D1542" i="1"/>
  <c r="D1706" i="1" s="1"/>
  <c r="D1541" i="1"/>
  <c r="D1540" i="1"/>
  <c r="C1707" i="1" s="1"/>
  <c r="D1539" i="1"/>
  <c r="C1706" i="1" s="1"/>
  <c r="D1538" i="1"/>
  <c r="D1537" i="1"/>
  <c r="G1582" i="1" s="1"/>
  <c r="D1406" i="1"/>
  <c r="D1395" i="1"/>
  <c r="D1388" i="1"/>
  <c r="D1379" i="1"/>
  <c r="D1371" i="1"/>
  <c r="D1362" i="1"/>
  <c r="G1289" i="1"/>
  <c r="E1288" i="1"/>
  <c r="D1352" i="1" s="1"/>
  <c r="G1287" i="1"/>
  <c r="G1286" i="1"/>
  <c r="H1285" i="1"/>
  <c r="J1317" i="1" s="1"/>
  <c r="G1284" i="1"/>
  <c r="E1283" i="1"/>
  <c r="D1341" i="1" s="1"/>
  <c r="E1282" i="1"/>
  <c r="D1342" i="1" s="1"/>
  <c r="G1281" i="1"/>
  <c r="F1280" i="1"/>
  <c r="I1278" i="1"/>
  <c r="J1322" i="1" s="1"/>
  <c r="I1277" i="1"/>
  <c r="J1321" i="1" s="1"/>
  <c r="G1276" i="1"/>
  <c r="E1275" i="1"/>
  <c r="D1353" i="1" s="1"/>
  <c r="G1274" i="1"/>
  <c r="G1273" i="1"/>
  <c r="H1272" i="1"/>
  <c r="J1316" i="1" s="1"/>
  <c r="H1271" i="1"/>
  <c r="J1315" i="1" s="1"/>
  <c r="G1270" i="1"/>
  <c r="G1269" i="1"/>
  <c r="G1268" i="1"/>
  <c r="F1267" i="1"/>
  <c r="F1266" i="1"/>
  <c r="F1265" i="1"/>
  <c r="F1264" i="1"/>
  <c r="E1316" i="1" s="1"/>
  <c r="F1263" i="1"/>
  <c r="F1262" i="1"/>
  <c r="E1261" i="1"/>
  <c r="E1309" i="1" s="1"/>
  <c r="E1260" i="1"/>
  <c r="E1308" i="1" s="1"/>
  <c r="E1259" i="1"/>
  <c r="F1258" i="1"/>
  <c r="E1257" i="1"/>
  <c r="D1333" i="1" s="1"/>
  <c r="E1256" i="1"/>
  <c r="E1255" i="1"/>
  <c r="D1343" i="1" s="1"/>
  <c r="E1254" i="1"/>
  <c r="D1340" i="1" s="1"/>
  <c r="F1134" i="1"/>
  <c r="F1135" i="1" s="1"/>
  <c r="I1086" i="1"/>
  <c r="I1084" i="1"/>
  <c r="F1057" i="1"/>
  <c r="F1058" i="1" s="1"/>
  <c r="D1042" i="1"/>
  <c r="K1028" i="1"/>
  <c r="I1027" i="1"/>
  <c r="I1026" i="1"/>
  <c r="O1024" i="1"/>
  <c r="O1028" i="1" s="1"/>
  <c r="F1079" i="1" s="1"/>
  <c r="J1022" i="1"/>
  <c r="J1021" i="1"/>
  <c r="J1020" i="1"/>
  <c r="M1019" i="1"/>
  <c r="M1028" i="1" s="1"/>
  <c r="F1075" i="1" s="1"/>
  <c r="I1018" i="1"/>
  <c r="L1017" i="1"/>
  <c r="L1028" i="1" s="1"/>
  <c r="F1074" i="1" s="1"/>
  <c r="I1016" i="1"/>
  <c r="N1015" i="1"/>
  <c r="N1028" i="1" s="1"/>
  <c r="F1077" i="1" s="1"/>
  <c r="H1014" i="1"/>
  <c r="H1013" i="1"/>
  <c r="I1012" i="1"/>
  <c r="I1011" i="1"/>
  <c r="I1010" i="1"/>
  <c r="I1009" i="1"/>
  <c r="G1008" i="1"/>
  <c r="G1007" i="1"/>
  <c r="G1006" i="1"/>
  <c r="G1005" i="1"/>
  <c r="G1004" i="1"/>
  <c r="F1003" i="1"/>
  <c r="F1002" i="1"/>
  <c r="F1001" i="1"/>
  <c r="F1028" i="1" s="1"/>
  <c r="C874" i="1"/>
  <c r="D866" i="1"/>
  <c r="G883" i="1" s="1"/>
  <c r="G884" i="1" s="1"/>
  <c r="K866" i="1"/>
  <c r="N852" i="1"/>
  <c r="N853" i="1"/>
  <c r="N854" i="1"/>
  <c r="N863" i="1"/>
  <c r="L864" i="1"/>
  <c r="C879" i="1" s="1"/>
  <c r="C861" i="1"/>
  <c r="L862" i="1"/>
  <c r="C862" i="1"/>
  <c r="L860" i="1"/>
  <c r="C860" i="1"/>
  <c r="C859" i="1"/>
  <c r="N859" i="1" s="1"/>
  <c r="L858" i="1"/>
  <c r="N858" i="1" s="1"/>
  <c r="F857" i="1"/>
  <c r="N857" i="1" s="1"/>
  <c r="C856" i="1"/>
  <c r="E856" i="1" s="1"/>
  <c r="E866" i="1" s="1"/>
  <c r="G878" i="1" s="1"/>
  <c r="C855" i="1"/>
  <c r="N855" i="1" s="1"/>
  <c r="L851" i="1"/>
  <c r="H850" i="1"/>
  <c r="H866" i="1" s="1"/>
  <c r="K883" i="1" s="1"/>
  <c r="K884" i="1" s="1"/>
  <c r="G849" i="1"/>
  <c r="N849" i="1" s="1"/>
  <c r="I848" i="1"/>
  <c r="E75" i="7"/>
  <c r="E71" i="7"/>
  <c r="E69" i="7"/>
  <c r="E67" i="7"/>
  <c r="F67" i="7" s="1"/>
  <c r="E99" i="7" s="1"/>
  <c r="E65" i="7"/>
  <c r="I65" i="7" s="1"/>
  <c r="I82" i="7" s="1"/>
  <c r="E240" i="7"/>
  <c r="F172" i="7"/>
  <c r="E214" i="7" s="1"/>
  <c r="G172" i="7"/>
  <c r="E227" i="7" s="1"/>
  <c r="D201" i="7"/>
  <c r="D203" i="7"/>
  <c r="G195" i="7"/>
  <c r="D196" i="7"/>
  <c r="F170" i="7" s="1"/>
  <c r="E213" i="7" s="1"/>
  <c r="H185" i="7"/>
  <c r="E234" i="7" s="1"/>
  <c r="J168" i="7"/>
  <c r="G168" i="7" s="1"/>
  <c r="E225" i="7" s="1"/>
  <c r="E162" i="7"/>
  <c r="F162" i="7" s="1"/>
  <c r="E217" i="7" s="1"/>
  <c r="E164" i="7"/>
  <c r="F164" i="7" s="1"/>
  <c r="E218" i="7" s="1"/>
  <c r="E166" i="7"/>
  <c r="F166" i="7" s="1"/>
  <c r="E219" i="7" s="1"/>
  <c r="E168" i="7"/>
  <c r="E160" i="7"/>
  <c r="I160" i="7" s="1"/>
  <c r="I186" i="7" s="1"/>
  <c r="D183" i="7"/>
  <c r="C183" i="7"/>
  <c r="C181" i="7"/>
  <c r="D177" i="7"/>
  <c r="H177" i="7" s="1"/>
  <c r="E231" i="7" s="1"/>
  <c r="C177" i="7"/>
  <c r="H179" i="7" s="1"/>
  <c r="E232" i="7" s="1"/>
  <c r="D175" i="7"/>
  <c r="C175" i="7"/>
  <c r="D173" i="7"/>
  <c r="C173" i="7"/>
  <c r="D181" i="7"/>
  <c r="D170" i="7"/>
  <c r="C170" i="7"/>
  <c r="D135" i="7"/>
  <c r="D143" i="7" s="1"/>
  <c r="D144" i="7" s="1"/>
  <c r="C135" i="7"/>
  <c r="C143" i="7" s="1"/>
  <c r="C144" i="7" s="1"/>
  <c r="E113" i="7"/>
  <c r="E119" i="7"/>
  <c r="F73" i="7"/>
  <c r="E96" i="7" s="1"/>
  <c r="G73" i="7"/>
  <c r="G82" i="7" s="1"/>
  <c r="F81" i="7"/>
  <c r="E91" i="7" s="1"/>
  <c r="F69" i="7"/>
  <c r="E100" i="7" s="1"/>
  <c r="F71" i="7"/>
  <c r="E101" i="7" s="1"/>
  <c r="F75" i="7"/>
  <c r="E102" i="7" s="1"/>
  <c r="E77" i="7"/>
  <c r="H77" i="7" s="1"/>
  <c r="E111" i="7" s="1"/>
  <c r="D79" i="7"/>
  <c r="C79" i="7"/>
  <c r="D73" i="7"/>
  <c r="C73" i="7"/>
  <c r="D25" i="7"/>
  <c r="D32" i="7" s="1"/>
  <c r="D33" i="7" s="1"/>
  <c r="C25" i="7"/>
  <c r="C32" i="7" s="1"/>
  <c r="C33" i="7" s="1"/>
  <c r="H260" i="6"/>
  <c r="I253" i="6" s="1"/>
  <c r="J253" i="6" s="1"/>
  <c r="H212" i="6" s="1"/>
  <c r="C260" i="6"/>
  <c r="I252" i="6" s="1"/>
  <c r="K252" i="6" s="1"/>
  <c r="I212" i="6" s="1"/>
  <c r="K239" i="6"/>
  <c r="I242" i="6"/>
  <c r="I238" i="6"/>
  <c r="G221" i="6"/>
  <c r="G219" i="6"/>
  <c r="G218" i="6"/>
  <c r="G217" i="6"/>
  <c r="G216" i="6"/>
  <c r="H216" i="6" s="1"/>
  <c r="G214" i="6"/>
  <c r="G210" i="6"/>
  <c r="H210" i="6" s="1"/>
  <c r="G208" i="6"/>
  <c r="H208" i="6" s="1"/>
  <c r="G206" i="6"/>
  <c r="G204" i="6"/>
  <c r="K204" i="6" s="1"/>
  <c r="F220" i="6"/>
  <c r="E220" i="6"/>
  <c r="F212" i="6"/>
  <c r="E212" i="6"/>
  <c r="F229" i="5" l="1"/>
  <c r="E223" i="5"/>
  <c r="D229" i="5"/>
  <c r="E222" i="5"/>
  <c r="H229" i="5"/>
  <c r="C229" i="5"/>
  <c r="C745" i="3"/>
  <c r="C747" i="3" s="1"/>
  <c r="F717" i="3"/>
  <c r="F719" i="3" s="1"/>
  <c r="C719" i="3"/>
  <c r="H453" i="3"/>
  <c r="H456" i="3" s="1"/>
  <c r="G453" i="3"/>
  <c r="G456" i="3" s="1"/>
  <c r="G168" i="3"/>
  <c r="C877" i="1"/>
  <c r="H1028" i="1"/>
  <c r="F1069" i="1" s="1"/>
  <c r="N862" i="1"/>
  <c r="E1707" i="1"/>
  <c r="D1708" i="1"/>
  <c r="C1583" i="1"/>
  <c r="E1315" i="1"/>
  <c r="F1066" i="1"/>
  <c r="G1581" i="1"/>
  <c r="G1585" i="1" s="1"/>
  <c r="C1582" i="1"/>
  <c r="N860" i="1"/>
  <c r="J1028" i="1"/>
  <c r="F1071" i="1" s="1"/>
  <c r="E1305" i="1"/>
  <c r="E1317" i="1"/>
  <c r="D1332" i="1"/>
  <c r="D1334" i="1" s="1"/>
  <c r="F1290" i="1"/>
  <c r="E1307" i="1"/>
  <c r="E1318" i="1"/>
  <c r="G1028" i="1"/>
  <c r="F1067" i="1" s="1"/>
  <c r="C1578" i="1"/>
  <c r="C1580" i="1" s="1"/>
  <c r="I1028" i="1"/>
  <c r="F1070" i="1" s="1"/>
  <c r="D1344" i="1"/>
  <c r="J1305" i="1"/>
  <c r="J1307" i="1"/>
  <c r="K1582" i="1"/>
  <c r="K1583" i="1" s="1"/>
  <c r="J1602" i="1" s="1"/>
  <c r="J1604" i="1" s="1"/>
  <c r="J1306" i="1"/>
  <c r="C1581" i="1"/>
  <c r="E1706" i="1"/>
  <c r="E1708" i="1" s="1"/>
  <c r="C1708" i="1"/>
  <c r="J1318" i="1"/>
  <c r="E1572" i="1"/>
  <c r="D1634" i="1"/>
  <c r="D1637" i="1" s="1"/>
  <c r="G1290" i="1"/>
  <c r="D1572" i="1"/>
  <c r="H1290" i="1"/>
  <c r="G1572" i="1"/>
  <c r="H1572" i="1"/>
  <c r="G1588" i="1"/>
  <c r="G1591" i="1" s="1"/>
  <c r="D1642" i="1"/>
  <c r="D1644" i="1" s="1"/>
  <c r="D1351" i="1"/>
  <c r="D1354" i="1" s="1"/>
  <c r="E1306" i="1"/>
  <c r="E1290" i="1"/>
  <c r="G861" i="1"/>
  <c r="N861" i="1" s="1"/>
  <c r="F866" i="1"/>
  <c r="G879" i="1" s="1"/>
  <c r="N864" i="1"/>
  <c r="C875" i="1"/>
  <c r="C876" i="1" s="1"/>
  <c r="L866" i="1"/>
  <c r="N856" i="1"/>
  <c r="J848" i="1"/>
  <c r="J866" i="1" s="1"/>
  <c r="K890" i="1" s="1"/>
  <c r="M865" i="1"/>
  <c r="N851" i="1"/>
  <c r="I866" i="1"/>
  <c r="K889" i="1" s="1"/>
  <c r="N850" i="1"/>
  <c r="E73" i="7"/>
  <c r="E104" i="7"/>
  <c r="D202" i="7"/>
  <c r="G170" i="7" s="1"/>
  <c r="E226" i="7" s="1"/>
  <c r="E228" i="7" s="1"/>
  <c r="E183" i="7"/>
  <c r="H183" i="7" s="1"/>
  <c r="E173" i="7"/>
  <c r="C185" i="7"/>
  <c r="D185" i="7"/>
  <c r="D186" i="7" s="1"/>
  <c r="E177" i="7"/>
  <c r="J181" i="7"/>
  <c r="J186" i="7" s="1"/>
  <c r="E181" i="7"/>
  <c r="E175" i="7"/>
  <c r="F175" i="7" s="1"/>
  <c r="E170" i="7"/>
  <c r="E107" i="7"/>
  <c r="E108" i="7" s="1"/>
  <c r="F82" i="7"/>
  <c r="D81" i="7"/>
  <c r="D82" i="7" s="1"/>
  <c r="E79" i="7"/>
  <c r="H79" i="7" s="1"/>
  <c r="C81" i="7"/>
  <c r="I240" i="6"/>
  <c r="J240" i="6" s="1"/>
  <c r="F222" i="6"/>
  <c r="G220" i="6"/>
  <c r="E222" i="6"/>
  <c r="G212" i="6"/>
  <c r="E229" i="5" l="1"/>
  <c r="G222" i="6"/>
  <c r="G169" i="3"/>
  <c r="D181" i="3"/>
  <c r="D187" i="3" s="1"/>
  <c r="D186" i="3" s="1"/>
  <c r="C878" i="1"/>
  <c r="C880" i="1" s="1"/>
  <c r="C885" i="1" s="1"/>
  <c r="F1068" i="1"/>
  <c r="F1073" i="1" s="1"/>
  <c r="F1076" i="1" s="1"/>
  <c r="F1078" i="1" s="1"/>
  <c r="F1080" i="1" s="1"/>
  <c r="I1085" i="1" s="1"/>
  <c r="I1087" i="1" s="1"/>
  <c r="E1310" i="1"/>
  <c r="G1596" i="1"/>
  <c r="J1598" i="1" s="1"/>
  <c r="J1599" i="1" s="1"/>
  <c r="J1611" i="1" s="1"/>
  <c r="J1613" i="1" s="1"/>
  <c r="C1596" i="1" s="1"/>
  <c r="G866" i="1"/>
  <c r="E1319" i="1"/>
  <c r="E1326" i="1" s="1"/>
  <c r="J1308" i="1"/>
  <c r="C1584" i="1"/>
  <c r="C1587" i="1" s="1"/>
  <c r="C1589" i="1" s="1"/>
  <c r="C1594" i="1" s="1"/>
  <c r="B1600" i="1" s="1"/>
  <c r="H1297" i="1"/>
  <c r="J1323" i="1" s="1"/>
  <c r="J1324" i="1" s="1"/>
  <c r="C886" i="1"/>
  <c r="C887" i="1" s="1"/>
  <c r="K891" i="1" s="1"/>
  <c r="K892" i="1" s="1"/>
  <c r="K895" i="1" s="1"/>
  <c r="C865" i="1"/>
  <c r="M866" i="1"/>
  <c r="N848" i="1"/>
  <c r="G186" i="7"/>
  <c r="H186" i="7"/>
  <c r="E233" i="7"/>
  <c r="E235" i="7" s="1"/>
  <c r="E220" i="7"/>
  <c r="E185" i="7"/>
  <c r="C186" i="7"/>
  <c r="E81" i="7"/>
  <c r="E82" i="7" s="1"/>
  <c r="H82" i="7"/>
  <c r="E112" i="7"/>
  <c r="E114" i="7" s="1"/>
  <c r="C82" i="7"/>
  <c r="F156" i="6"/>
  <c r="F165" i="6" s="1"/>
  <c r="F166" i="6" s="1"/>
  <c r="E156" i="6"/>
  <c r="E165" i="6" s="1"/>
  <c r="E166" i="6" s="1"/>
  <c r="K1596" i="1" l="1"/>
  <c r="J1326" i="1"/>
  <c r="N865" i="1"/>
  <c r="C866" i="1"/>
  <c r="E186" i="7"/>
  <c r="F185" i="7"/>
  <c r="F186" i="7" s="1"/>
  <c r="E118" i="7"/>
  <c r="E120" i="7" s="1"/>
  <c r="D128" i="5"/>
  <c r="D127" i="5"/>
  <c r="D126" i="5"/>
  <c r="D125" i="5"/>
  <c r="D124" i="5"/>
  <c r="C124" i="5"/>
  <c r="C125" i="5" s="1"/>
  <c r="C126" i="5" s="1"/>
  <c r="C127" i="5" s="1"/>
  <c r="C128" i="5" s="1"/>
  <c r="D103" i="5"/>
  <c r="D102" i="5"/>
  <c r="D101" i="5"/>
  <c r="D100" i="5"/>
  <c r="D99" i="5"/>
  <c r="C99" i="5"/>
  <c r="E99" i="5" s="1"/>
  <c r="C350" i="4"/>
  <c r="C348" i="4"/>
  <c r="C345" i="4"/>
  <c r="C316" i="4"/>
  <c r="C315" i="4"/>
  <c r="D315" i="4" s="1"/>
  <c r="C319" i="4"/>
  <c r="D319" i="4" s="1"/>
  <c r="D283" i="4"/>
  <c r="E242" i="4"/>
  <c r="F242" i="4" s="1"/>
  <c r="G242" i="4" s="1"/>
  <c r="H242" i="4" s="1"/>
  <c r="D242" i="4"/>
  <c r="C242" i="4"/>
  <c r="B242" i="4"/>
  <c r="B239" i="4" s="1"/>
  <c r="E275" i="4"/>
  <c r="E256" i="4"/>
  <c r="B238" i="4" s="1"/>
  <c r="C100" i="5" l="1"/>
  <c r="C101" i="5" s="1"/>
  <c r="C102" i="5" s="1"/>
  <c r="C103" i="5" s="1"/>
  <c r="G128" i="5"/>
  <c r="N866" i="1"/>
  <c r="G877" i="1"/>
  <c r="G880" i="1" s="1"/>
  <c r="G895" i="1" s="1"/>
  <c r="E208" i="7"/>
  <c r="G125" i="5"/>
  <c r="G126" i="5"/>
  <c r="G124" i="5"/>
  <c r="G127" i="5"/>
  <c r="E124" i="5"/>
  <c r="E125" i="5" s="1"/>
  <c r="E126" i="5" s="1"/>
  <c r="E127" i="5" s="1"/>
  <c r="E128" i="5" s="1"/>
  <c r="D316" i="4"/>
  <c r="D317" i="4" s="1"/>
  <c r="C317" i="4"/>
  <c r="C239" i="4"/>
  <c r="D239" i="4" s="1"/>
  <c r="E239" i="4" s="1"/>
  <c r="F239" i="4" s="1"/>
  <c r="G239" i="4" s="1"/>
  <c r="B240" i="4"/>
  <c r="C238" i="4"/>
  <c r="D106" i="4"/>
  <c r="D110" i="4" s="1"/>
  <c r="E445" i="3" s="1"/>
  <c r="D85" i="4"/>
  <c r="D84" i="4"/>
  <c r="E76" i="4"/>
  <c r="C76" i="4"/>
  <c r="D88" i="4" s="1"/>
  <c r="C57" i="4"/>
  <c r="D445" i="3" s="1"/>
  <c r="E49" i="4"/>
  <c r="C49" i="4"/>
  <c r="D427" i="3"/>
  <c r="D431" i="3" s="1"/>
  <c r="D405" i="3"/>
  <c r="D406" i="3"/>
  <c r="E397" i="3"/>
  <c r="C397" i="3"/>
  <c r="D409" i="3" s="1"/>
  <c r="C378" i="3"/>
  <c r="E370" i="3"/>
  <c r="F314" i="3"/>
  <c r="E314" i="3"/>
  <c r="F313" i="3"/>
  <c r="E313" i="3"/>
  <c r="F312" i="3"/>
  <c r="E312" i="3"/>
  <c r="H312" i="3"/>
  <c r="L313" i="3"/>
  <c r="L314" i="3"/>
  <c r="L312" i="3"/>
  <c r="K313" i="3"/>
  <c r="K314" i="3"/>
  <c r="K312" i="3"/>
  <c r="E309" i="3"/>
  <c r="I314" i="3" s="1"/>
  <c r="D309" i="3"/>
  <c r="H314" i="3" s="1"/>
  <c r="I312" i="3" s="1"/>
  <c r="D273" i="3"/>
  <c r="E267" i="3"/>
  <c r="D267" i="3"/>
  <c r="E265" i="3" s="1"/>
  <c r="D262" i="3"/>
  <c r="D266" i="3" s="1"/>
  <c r="E261" i="3"/>
  <c r="D261" i="3"/>
  <c r="E260" i="3"/>
  <c r="E258" i="3"/>
  <c r="D258" i="3"/>
  <c r="D255" i="3"/>
  <c r="D271" i="3" s="1"/>
  <c r="E254" i="3"/>
  <c r="D254" i="3"/>
  <c r="E253" i="3"/>
  <c r="D253" i="3"/>
  <c r="E252" i="3"/>
  <c r="E100" i="5" l="1"/>
  <c r="E101" i="5" s="1"/>
  <c r="E102" i="5" s="1"/>
  <c r="E103" i="5" s="1"/>
  <c r="F445" i="3"/>
  <c r="G461" i="3" s="1"/>
  <c r="G462" i="3" s="1"/>
  <c r="C453" i="3" s="1"/>
  <c r="C454" i="3" s="1"/>
  <c r="C375" i="3"/>
  <c r="D407" i="3"/>
  <c r="D411" i="3" s="1"/>
  <c r="E222" i="7"/>
  <c r="E239" i="7" s="1"/>
  <c r="E241" i="7" s="1"/>
  <c r="C240" i="4"/>
  <c r="D238" i="4"/>
  <c r="D86" i="4"/>
  <c r="D90" i="4" s="1"/>
  <c r="D96" i="4" s="1"/>
  <c r="D446" i="3" s="1"/>
  <c r="F446" i="3" s="1"/>
  <c r="C81" i="4"/>
  <c r="C54" i="4"/>
  <c r="C402" i="3"/>
  <c r="K315" i="3"/>
  <c r="H313" i="3" s="1"/>
  <c r="H315" i="3" s="1"/>
  <c r="B313" i="3" s="1"/>
  <c r="D272" i="3"/>
  <c r="D268" i="3" s="1"/>
  <c r="D265" i="3" s="1"/>
  <c r="L315" i="3"/>
  <c r="I313" i="3" s="1"/>
  <c r="I315" i="3" s="1"/>
  <c r="C313" i="3" s="1"/>
  <c r="E315" i="3"/>
  <c r="B312" i="3" s="1"/>
  <c r="F315" i="3"/>
  <c r="C312" i="3" s="1"/>
  <c r="E255" i="3"/>
  <c r="E271" i="3" s="1"/>
  <c r="D260" i="3"/>
  <c r="E262" i="3"/>
  <c r="E266" i="3" s="1"/>
  <c r="E268" i="3" s="1"/>
  <c r="E272" i="3" s="1"/>
  <c r="D252" i="3"/>
  <c r="H461" i="3" l="1"/>
  <c r="H462" i="3" s="1"/>
  <c r="D453" i="3" s="1"/>
  <c r="D454" i="3" s="1"/>
  <c r="B314" i="3"/>
  <c r="D240" i="4"/>
  <c r="E238" i="4"/>
  <c r="D417" i="3"/>
  <c r="C314" i="3"/>
  <c r="E273" i="3"/>
  <c r="F238" i="4" l="1"/>
  <c r="E240" i="4"/>
  <c r="H58" i="3"/>
  <c r="F56" i="3"/>
  <c r="F55" i="3"/>
  <c r="E54" i="3"/>
  <c r="E53" i="3"/>
  <c r="D52" i="3"/>
  <c r="D58" i="3" s="1"/>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E707" i="1" s="1"/>
  <c r="C101" i="3"/>
  <c r="C105" i="3" s="1"/>
  <c r="G68" i="3"/>
  <c r="F57" i="3"/>
  <c r="I57" i="3" s="1"/>
  <c r="G69" i="3"/>
  <c r="C67" i="3"/>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tc={030B7A2B-5EB6-9945-9553-074AFF1BB3D7}</author>
    <author>tc={9675637C-C473-7842-B8BB-F5F9FE8F000C}</author>
    <author>tc={66908BF6-602F-8140-9EA9-11FE5D17C2CE}</author>
    <author>tc={C656CCAB-BF87-5B45-9DF6-816066362353}</author>
    <author>tc={4DB201F8-2991-094E-8D12-18817AC77D42}</author>
    <author>tc={A7BAB007-2DA9-3A46-8E4D-9B235D7BA706}</author>
  </authors>
  <commentList>
    <comment ref="D183"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 ref="F531" authorId="1" shapeId="0" xr:uid="{030B7A2B-5EB6-9945-9553-074AFF1BB3D7}">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531" authorId="2" shapeId="0" xr:uid="{9675637C-C473-7842-B8BB-F5F9FE8F000C}">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535" authorId="3" shapeId="0" xr:uid="{66908BF6-602F-8140-9EA9-11FE5D17C2CE}">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H537" authorId="4" shapeId="0" xr:uid="{C656CCAB-BF87-5B45-9DF6-816066362353}">
      <text>
        <t>[Threaded comment]
Your version of Excel allows you to read this threaded comment; however, any edits to it will get removed if the file is opened in a newer version of Excel. Learn more: https://go.microsoft.com/fwlink/?linkid=870924
Comment:
    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
      </text>
    </comment>
    <comment ref="F539" authorId="5" shapeId="0" xr:uid="{4DB201F8-2991-094E-8D12-18817AC77D42}">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H539" authorId="6" shapeId="0" xr:uid="{A7BAB007-2DA9-3A46-8E4D-9B235D7BA706}">
      <text>
        <t>[Threaded comment]
Your version of Excel allows you to read this threaded comment; however, any edits to it will get removed if the file is opened in a newer version of Excel. Learn more: https://go.microsoft.com/fwlink/?linkid=870924
Comment:
    הכרזה וחלוקה / תשלום של דיבידנד השנה תרשם בקטגוריית יתרת הרווח (עודפים) בסימן שלילי, תחת פעילות מימון</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tc={35C727F4-D045-6948-A20A-C5088B294C34}</author>
    <author>tc={77645608-EDC9-264D-9703-04CA80D9F353}</author>
    <author>tc={583EDAC0-074E-9040-BBA6-68ADDDF0826E}</author>
    <author>tc={240961A9-41BA-234C-846B-E417B4E939FE}</author>
  </authors>
  <commentList>
    <comment ref="G53" authorId="0" shapeId="0" xr:uid="{35C727F4-D045-6948-A20A-C5088B294C34}">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53" authorId="1" shapeId="0" xr:uid="{77645608-EDC9-264D-9703-04CA80D9F353}">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66" authorId="2" shapeId="0" xr:uid="{583EDAC0-074E-9040-BBA6-68ADDDF0826E}">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70" authorId="3" shapeId="0" xr:uid="{240961A9-41BA-234C-846B-E417B4E939FE}">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tc={EF48B80F-D26F-8B43-AA1B-3831DF717766}</author>
    <author>tc={71AE266C-52FA-7742-8090-E32C1BA6CD33}</author>
    <author>tc={41776008-0B20-AC48-9424-53F8B43F00D0}</author>
    <author>tc={5A578B37-0EA2-214C-ABFC-3497C798F079}</author>
    <author>tc={C7FD8388-052E-6D41-A30A-D682D5A7DB8B}</author>
    <author>tc={F429F4F9-0762-7940-B937-40B3835D64D6}</author>
    <author>tc={A6B16C4B-FA0C-254E-BDCB-1CA46DC9FC54}</author>
    <author>tc={E150AE5E-33BC-114E-881A-34DAF0A28AE5}</author>
  </authors>
  <commentList>
    <comment ref="F73" authorId="0" shapeId="0" xr:uid="{EF48B80F-D26F-8B43-AA1B-3831DF717766}">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73" authorId="1" shapeId="0" xr:uid="{71AE266C-52FA-7742-8090-E32C1BA6CD33}">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77" authorId="2" shapeId="0" xr:uid="{41776008-0B20-AC48-9424-53F8B43F00D0}">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F81" authorId="3" shapeId="0" xr:uid="{5A578B37-0EA2-214C-ABFC-3497C798F079}">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G168" authorId="4" shapeId="0" xr:uid="{C7FD8388-052E-6D41-A30A-D682D5A7DB8B}">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168" authorId="5" shapeId="0" xr:uid="{F429F4F9-0762-7940-B937-40B3835D64D6}">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181" authorId="6" shapeId="0" xr:uid="{A6B16C4B-FA0C-254E-BDCB-1CA46DC9FC54}">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185" authorId="7" shapeId="0" xr:uid="{E150AE5E-33BC-114E-881A-34DAF0A28AE5}">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<sst xmlns="http://schemas.openxmlformats.org/spreadsheetml/2006/main" count="4087" uniqueCount="2405">
  <si>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</si>
  <si>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</si>
  <si>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</si>
  <si>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</si>
  <si>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</si>
  <si>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</si>
  <si>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</si>
  <si>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</si>
  <si>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</si>
  <si>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</si>
  <si>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</si>
  <si>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</si>
  <si>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</si>
  <si>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</si>
  <si>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</si>
  <si>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</si>
  <si>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</si>
  <si>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</si>
  <si>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</si>
  <si>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</si>
  <si>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</si>
  <si>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</si>
  <si>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</si>
  <si>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</si>
  <si>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</si>
  <si>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</si>
  <si>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</si>
  <si>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</si>
  <si>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</si>
  <si>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</si>
  <si>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</si>
  <si>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</si>
  <si>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</si>
  <si>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</si>
  <si>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</si>
  <si>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</si>
  <si>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</si>
  <si>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</si>
  <si>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</si>
  <si>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</si>
  <si>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</si>
  <si>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</si>
  <si>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</si>
  <si>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</si>
  <si>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</si>
  <si>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</si>
  <si>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</si>
  <si>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</si>
  <si>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</si>
  <si>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</si>
  <si>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</si>
  <si>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</si>
  <si>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</si>
  <si>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</si>
  <si>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</si>
  <si>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</si>
  <si>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</si>
  <si>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</si>
  <si>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</si>
  <si>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</si>
  <si>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</si>
  <si>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</si>
  <si>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</si>
  <si>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</si>
  <si>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</si>
  <si>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</si>
  <si>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</si>
  <si>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</si>
  <si>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</si>
  <si>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</si>
  <si>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</si>
  <si>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</si>
  <si>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</si>
  <si>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</si>
  <si>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</si>
  <si>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</si>
  <si>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</si>
  <si>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</si>
  <si>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</si>
  <si>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</si>
  <si>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</si>
  <si>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</si>
  <si>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</si>
  <si>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</si>
  <si>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</si>
  <si>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</si>
  <si>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</si>
  <si>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</si>
  <si>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</si>
  <si>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</si>
  <si>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</si>
  <si>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</si>
  <si>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</si>
  <si>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</si>
  <si>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</si>
  <si>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</si>
  <si>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</si>
  <si>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</si>
  <si>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</si>
  <si>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</si>
  <si>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</si>
  <si>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</si>
  <si>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</si>
  <si>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</si>
  <si>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</si>
  <si>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</si>
  <si>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</si>
  <si>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</si>
  <si>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</si>
  <si>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</si>
  <si>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</si>
  <si>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</si>
  <si>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</si>
  <si>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</si>
  <si>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</si>
  <si>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</si>
  <si>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</si>
  <si>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</si>
  <si>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</si>
  <si>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</si>
  <si>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</si>
  <si>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</si>
  <si>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</si>
  <si>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</si>
  <si>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</si>
  <si>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</si>
  <si>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</si>
  <si>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</si>
  <si>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</si>
  <si>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</si>
  <si>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</si>
  <si>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</si>
  <si>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</si>
  <si>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</si>
  <si>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</si>
  <si>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</si>
  <si>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</si>
  <si>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</si>
  <si>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</si>
  <si>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</si>
  <si>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</si>
  <si>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</si>
  <si>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</si>
  <si>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</si>
  <si>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</si>
  <si>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</si>
  <si>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</si>
  <si>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</si>
  <si>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</si>
  <si>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</si>
  <si>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</si>
  <si>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</si>
  <si>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</si>
  <si>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</si>
  <si>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</si>
  <si>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</si>
  <si>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</si>
  <si>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</si>
  <si>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</si>
  <si>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</si>
  <si>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</si>
  <si>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</si>
  <si>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</si>
  <si>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</si>
  <si>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</si>
  <si>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</si>
  <si>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</si>
  <si>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</si>
  <si>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</si>
  <si>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</si>
  <si>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</si>
  <si>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</si>
  <si>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</si>
  <si>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</si>
  <si>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</si>
  <si>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</si>
  <si>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</si>
  <si>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</si>
  <si>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</si>
  <si>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</si>
  <si>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</si>
  <si>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</si>
  <si>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</si>
  <si>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</si>
  <si>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</si>
  <si>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</si>
  <si>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</si>
  <si>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</si>
  <si>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</si>
  <si>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</si>
  <si>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</si>
  <si>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</si>
  <si>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</si>
  <si>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</si>
  <si>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</si>
  <si>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</si>
  <si>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</si>
  <si>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</si>
  <si>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</si>
  <si>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</si>
  <si>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</si>
  <si>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</si>
  <si>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</si>
  <si>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</si>
  <si>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</si>
  <si>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</si>
  <si>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</si>
  <si>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</si>
  <si>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</si>
  <si>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</si>
  <si>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</si>
  <si>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</si>
  <si>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</si>
  <si>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</si>
  <si>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</si>
  <si>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</si>
  <si>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</si>
  <si>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</si>
  <si>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</si>
  <si>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</si>
  <si>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</si>
  <si>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</si>
  <si>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</si>
  <si>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</si>
  <si>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</si>
  <si>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</si>
  <si>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</si>
  <si>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</si>
  <si>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</si>
  <si>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</si>
  <si>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</si>
  <si>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</si>
  <si>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</si>
  <si>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</si>
  <si>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</si>
  <si>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</si>
  <si>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</si>
  <si>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</si>
  <si>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</si>
  <si>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</si>
  <si>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</si>
  <si>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</si>
  <si>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</si>
  <si>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</si>
  <si>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</si>
  <si>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</si>
  <si>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</si>
  <si>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</si>
  <si>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</si>
  <si>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</si>
  <si>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</si>
  <si>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</si>
  <si>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</si>
  <si>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</si>
  <si>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</si>
  <si>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</si>
  <si>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</si>
  <si>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</si>
  <si>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</si>
  <si>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</si>
  <si>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</si>
  <si>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</si>
  <si>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</si>
  <si>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</si>
  <si>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</si>
  <si>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</si>
  <si>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</si>
  <si>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</si>
  <si>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rPr>
      <t>החשבונאות מספקת מידע כספי</t>
    </r>
    <r>
      <rPr>
        <sz val="12"/>
        <color theme="1"/>
        <rFont val="David"/>
      </rPr>
      <t xml:space="preserve"> ל"מטרות </t>
    </r>
    <r>
      <rPr>
        <b/>
        <sz val="12"/>
        <color theme="1"/>
        <rFont val="David"/>
      </rPr>
      <t>כלליות</t>
    </r>
    <r>
      <rPr>
        <sz val="12"/>
        <color theme="1"/>
        <rFont val="David"/>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</si>
  <si>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rPr>
      <t>דוחות כספיים</t>
    </r>
  </si>
  <si>
    <r>
      <t xml:space="preserve">א. </t>
    </r>
    <r>
      <rPr>
        <b/>
        <sz val="12"/>
        <color theme="1"/>
        <rFont val="David"/>
      </rPr>
      <t>דוח רווח והפסד</t>
    </r>
    <r>
      <rPr>
        <sz val="12"/>
        <color theme="1"/>
        <rFont val="David"/>
      </rPr>
      <t xml:space="preserve">: מידע בדבר </t>
    </r>
    <r>
      <rPr>
        <u/>
        <sz val="12"/>
        <color theme="1"/>
        <rFont val="David"/>
      </rPr>
      <t>ההכנסות</t>
    </r>
    <r>
      <rPr>
        <sz val="12"/>
        <color theme="1"/>
        <rFont val="David"/>
      </rPr>
      <t xml:space="preserve"> התקופתיות בחברה, </t>
    </r>
    <r>
      <rPr>
        <u/>
        <sz val="12"/>
        <color theme="1"/>
        <rFont val="David"/>
      </rPr>
      <t>ההוצאות</t>
    </r>
    <r>
      <rPr>
        <sz val="12"/>
        <color theme="1"/>
        <rFont val="David"/>
      </rPr>
      <t xml:space="preserve"> התקופתיות </t>
    </r>
    <r>
      <rPr>
        <u/>
        <sz val="12"/>
        <color theme="1"/>
        <rFont val="David"/>
      </rPr>
      <t>והרווח / ההפסד</t>
    </r>
    <r>
      <rPr>
        <sz val="12"/>
        <color theme="1"/>
        <rFont val="David"/>
      </rPr>
      <t xml:space="preserve"> </t>
    </r>
    <r>
      <rPr>
        <b/>
        <sz val="12"/>
        <color theme="1"/>
        <rFont val="David"/>
      </rPr>
      <t>התקופתי (לשנה).</t>
    </r>
  </si>
  <si>
    <r>
      <t xml:space="preserve">ב. </t>
    </r>
    <r>
      <rPr>
        <b/>
        <sz val="12"/>
        <color theme="1"/>
        <rFont val="David"/>
      </rPr>
      <t>הדוח על המצב הכספי (</t>
    </r>
    <r>
      <rPr>
        <b/>
        <u/>
        <sz val="12"/>
        <color theme="1"/>
        <rFont val="David"/>
      </rPr>
      <t>מאזן</t>
    </r>
    <r>
      <rPr>
        <b/>
        <sz val="12"/>
        <color theme="1"/>
        <rFont val="David"/>
      </rPr>
      <t>)</t>
    </r>
    <r>
      <rPr>
        <sz val="12"/>
        <color theme="1"/>
        <rFont val="David"/>
      </rPr>
      <t xml:space="preserve">: מידע בדבר הנכסים, ההתחייבויות וההפרש ביניהם - הון עצמי: </t>
    </r>
    <r>
      <rPr>
        <b/>
        <sz val="12"/>
        <color theme="1"/>
        <rFont val="David"/>
      </rPr>
      <t>לנקודת זמן (ל-31.12).</t>
    </r>
  </si>
  <si>
    <r>
      <t xml:space="preserve">ג. </t>
    </r>
    <r>
      <rPr>
        <b/>
        <sz val="12"/>
        <color theme="1"/>
        <rFont val="David"/>
      </rPr>
      <t>הדוח על תזרימי המזומנים</t>
    </r>
    <r>
      <rPr>
        <sz val="12"/>
        <color theme="1"/>
        <rFont val="David"/>
      </rPr>
      <t xml:space="preserve">: מספק מידע בדבר מקורות המזומן והשימושים במזומן - </t>
    </r>
    <r>
      <rPr>
        <b/>
        <sz val="12"/>
        <color theme="1"/>
        <rFont val="David"/>
      </rPr>
      <t>תקופתי</t>
    </r>
    <r>
      <rPr>
        <sz val="12"/>
        <color theme="1"/>
        <rFont val="David"/>
      </rPr>
      <t xml:space="preserve">. </t>
    </r>
  </si>
  <si>
    <r>
      <t xml:space="preserve">בשלב זה אנו יודעים כי הדוח על המצב הכספי (המאזן) מפרט </t>
    </r>
    <r>
      <rPr>
        <b/>
        <sz val="12"/>
        <color theme="1"/>
        <rFont val="David"/>
      </rPr>
      <t>נכסי החברה</t>
    </r>
    <r>
      <rPr>
        <sz val="12"/>
        <color theme="1"/>
        <rFont val="David"/>
      </rPr>
      <t xml:space="preserve">, לצד </t>
    </r>
    <r>
      <rPr>
        <u/>
        <sz val="12"/>
        <color theme="1"/>
        <rFont val="David"/>
      </rPr>
      <t>התחייבויותיה</t>
    </r>
    <r>
      <rPr>
        <sz val="12"/>
        <color theme="1"/>
        <rFont val="David"/>
      </rPr>
      <t xml:space="preserve"> </t>
    </r>
    <r>
      <rPr>
        <u/>
        <sz val="12"/>
        <color theme="1"/>
        <rFont val="David"/>
      </rPr>
      <t>וההון העצמי</t>
    </r>
    <r>
      <rPr>
        <sz val="12"/>
        <color theme="1"/>
        <rFont val="David"/>
      </rPr>
      <t xml:space="preserve"> שלה.</t>
    </r>
  </si>
  <si>
    <r>
      <rPr>
        <b/>
        <sz val="12"/>
        <color rgb="FFFF0000"/>
        <rFont val="David"/>
      </rPr>
      <t>(1)</t>
    </r>
    <r>
      <rPr>
        <sz val="12"/>
        <color theme="1"/>
        <rFont val="David"/>
      </rPr>
      <t xml:space="preserve"> = 310</t>
    </r>
  </si>
  <si>
    <r>
      <rPr>
        <b/>
        <sz val="12"/>
        <color rgb="FFFF0000"/>
        <rFont val="David"/>
      </rPr>
      <t>(2)</t>
    </r>
    <r>
      <rPr>
        <sz val="12"/>
        <color theme="1"/>
        <rFont val="David"/>
      </rPr>
      <t xml:space="preserve"> = 300</t>
    </r>
  </si>
  <si>
    <r>
      <rPr>
        <b/>
        <sz val="12"/>
        <color theme="1"/>
        <rFont val="David"/>
      </rPr>
      <t>200 + 300</t>
    </r>
    <r>
      <rPr>
        <sz val="12"/>
        <color theme="1"/>
        <rFont val="David"/>
      </rPr>
      <t xml:space="preserve">                            =                   </t>
    </r>
    <r>
      <rPr>
        <b/>
        <sz val="12"/>
        <color theme="1"/>
        <rFont val="David"/>
      </rPr>
      <t xml:space="preserve">100 + </t>
    </r>
    <r>
      <rPr>
        <b/>
        <sz val="12"/>
        <color rgb="FFFF0000"/>
        <rFont val="David"/>
      </rPr>
      <t>(X1)</t>
    </r>
    <r>
      <rPr>
        <b/>
        <sz val="12"/>
        <color theme="1"/>
        <rFont val="David"/>
      </rPr>
      <t xml:space="preserve"> + 90</t>
    </r>
  </si>
  <si>
    <r>
      <t xml:space="preserve">250 + 320 = 130 + 140 + </t>
    </r>
    <r>
      <rPr>
        <b/>
        <sz val="12"/>
        <color rgb="FFFF0000"/>
        <rFont val="David"/>
      </rPr>
      <t>(X2)</t>
    </r>
    <r>
      <rPr>
        <sz val="12"/>
        <color theme="1"/>
        <rFont val="David"/>
      </rPr>
      <t xml:space="preserve"> </t>
    </r>
  </si>
  <si>
    <r>
      <t xml:space="preserve">הערה של קיילי (*): כמובן, במידה ונוצר הפסד (הכנסות נמוכות מהוצאות) הדבר </t>
    </r>
    <r>
      <rPr>
        <b/>
        <u/>
        <sz val="12"/>
        <color theme="1"/>
        <rFont val="David"/>
      </rPr>
      <t>יקטין</t>
    </r>
    <r>
      <rPr>
        <sz val="12"/>
        <color theme="1"/>
        <rFont val="David"/>
      </rPr>
      <t xml:space="preserve"> את ההון.</t>
    </r>
  </si>
  <si>
    <r>
      <t xml:space="preserve">המאזן הוא דוח כספי המשקף </t>
    </r>
    <r>
      <rPr>
        <u/>
        <sz val="12"/>
        <color theme="1"/>
        <rFont val="David"/>
      </rPr>
      <t>זהות</t>
    </r>
    <r>
      <rPr>
        <sz val="12"/>
        <color theme="1"/>
        <rFont val="David"/>
      </rPr>
      <t xml:space="preserve"> (שוויון) עקרונית בין סך המשאבים / השימושים בחברה </t>
    </r>
    <r>
      <rPr>
        <u/>
        <sz val="12"/>
        <color theme="1"/>
        <rFont val="David"/>
      </rPr>
      <t>(נכסים)</t>
    </r>
    <r>
      <rPr>
        <sz val="12"/>
        <color theme="1"/>
        <rFont val="David"/>
      </rPr>
      <t xml:space="preserve"> לבין סך המקורות ששימשו</t>
    </r>
  </si>
  <si>
    <r>
      <t xml:space="preserve">על מנת שיווצר בחברה מידע כספי שיאפשר לערוך את המאזן, נדרש לשקף את ההשפעה </t>
    </r>
    <r>
      <rPr>
        <u/>
        <sz val="12"/>
        <color theme="1"/>
        <rFont val="David"/>
      </rPr>
      <t>של כל עסקה ועסקה</t>
    </r>
    <r>
      <rPr>
        <sz val="12"/>
        <color theme="1"/>
        <rFont val="David"/>
      </rPr>
      <t xml:space="preserve"> על שני</t>
    </r>
  </si>
  <si>
    <r>
      <t xml:space="preserve">האגפים: גם על </t>
    </r>
    <r>
      <rPr>
        <u/>
        <sz val="12"/>
        <color theme="1"/>
        <rFont val="David"/>
      </rPr>
      <t>הנכסים</t>
    </r>
    <r>
      <rPr>
        <sz val="12"/>
        <color theme="1"/>
        <rFont val="David"/>
      </rPr>
      <t xml:space="preserve">, וגם על </t>
    </r>
    <r>
      <rPr>
        <u/>
        <sz val="12"/>
        <color theme="1"/>
        <rFont val="David"/>
      </rPr>
      <t>ההתחייבויות וההון העצמי</t>
    </r>
    <r>
      <rPr>
        <sz val="12"/>
        <color theme="1"/>
        <rFont val="David"/>
      </rPr>
      <t>.</t>
    </r>
  </si>
  <si>
    <r>
      <t xml:space="preserve">סך הגידול במזומן - לפי המזומן הנתון והשיק לפירעון </t>
    </r>
    <r>
      <rPr>
        <b/>
        <sz val="12"/>
        <color theme="1"/>
        <rFont val="David"/>
      </rPr>
      <t>מיידי</t>
    </r>
    <r>
      <rPr>
        <sz val="12"/>
        <color theme="1"/>
        <rFont val="David"/>
      </rPr>
      <t>:</t>
    </r>
  </si>
  <si>
    <r>
      <t xml:space="preserve">לגבי מצב שבו </t>
    </r>
    <r>
      <rPr>
        <b/>
        <sz val="12"/>
        <color theme="1"/>
        <rFont val="David"/>
      </rPr>
      <t>מקבלים</t>
    </r>
    <r>
      <rPr>
        <sz val="12"/>
        <color theme="1"/>
        <rFont val="David"/>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</si>
  <si>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rPr>
      <t>כלפי החברה</t>
    </r>
    <r>
      <rPr>
        <sz val="12"/>
        <color theme="1"/>
        <rFont val="David"/>
      </rPr>
      <t xml:space="preserve"> זה תמיד </t>
    </r>
    <r>
      <rPr>
        <b/>
        <sz val="12"/>
        <color theme="1"/>
        <rFont val="David"/>
      </rPr>
      <t>נכס שלה</t>
    </r>
    <r>
      <rPr>
        <sz val="12"/>
        <color theme="1"/>
        <rFont val="David"/>
      </rPr>
      <t xml:space="preserve">. </t>
    </r>
  </si>
  <si>
    <r>
      <t xml:space="preserve">חוב כלפי החברה שנוצר בעקבות קבלת שיק דחוי נקרא בשם </t>
    </r>
    <r>
      <rPr>
        <u/>
        <sz val="12"/>
        <color theme="1"/>
        <rFont val="David"/>
      </rPr>
      <t xml:space="preserve">נכס </t>
    </r>
    <r>
      <rPr>
        <b/>
        <sz val="12"/>
        <color theme="1"/>
        <rFont val="David"/>
      </rPr>
      <t>שיקים לקבל</t>
    </r>
    <r>
      <rPr>
        <sz val="12"/>
        <color theme="1"/>
        <rFont val="David"/>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</si>
  <si>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</si>
  <si>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</si>
  <si>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</si>
  <si>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</si>
  <si>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</si>
  <si>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</si>
  <si>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</si>
  <si>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</si>
  <si>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</si>
  <si>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</si>
  <si>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</si>
  <si>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</si>
  <si>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</si>
  <si>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</si>
  <si>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</si>
  <si>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</si>
  <si>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</si>
  <si>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rPr>
      <t>עלות המוצרים שנמכרו</t>
    </r>
  </si>
  <si>
    <r>
      <t xml:space="preserve">בניכוי הוצאות מכירה ושיווק: פרסום, שיווק </t>
    </r>
    <r>
      <rPr>
        <u/>
        <sz val="12"/>
        <color theme="1"/>
        <rFont val="David"/>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</si>
  <si>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</si>
  <si>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</si>
  <si>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</si>
  <si>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</si>
  <si>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</si>
  <si>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</si>
  <si>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</si>
  <si>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</si>
  <si>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</si>
  <si>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</si>
  <si>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</si>
  <si>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</si>
  <si>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rPr>
      <t>התחייבויות</t>
    </r>
    <r>
      <rPr>
        <sz val="12"/>
        <color theme="1"/>
        <rFont val="David"/>
      </rPr>
      <t xml:space="preserve"> ו</t>
    </r>
    <r>
      <rPr>
        <u/>
        <sz val="12"/>
        <color theme="1"/>
        <rFont val="David"/>
      </rPr>
      <t>הון עצמי</t>
    </r>
    <r>
      <rPr>
        <sz val="12"/>
        <color theme="1"/>
        <rFont val="David"/>
      </rPr>
      <t xml:space="preserve">). </t>
    </r>
    <r>
      <rPr>
        <b/>
        <sz val="22"/>
        <color rgb="FFFF0000"/>
        <rFont val="David"/>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</si>
  <si>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</si>
  <si>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</si>
  <si>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</si>
  <si>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</si>
  <si>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</si>
  <si>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</si>
  <si>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</si>
  <si>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</si>
  <si>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</si>
  <si>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rPr>
      <t>הוצאות מקטינות את הרווח</t>
    </r>
    <r>
      <rPr>
        <sz val="12"/>
        <color theme="1"/>
        <rFont val="David"/>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</si>
  <si>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</si>
  <si>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</si>
  <si>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</si>
  <si>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</si>
  <si>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rPr>
      <t>לא תסווג כהוצאה</t>
    </r>
    <r>
      <rPr>
        <sz val="12"/>
        <color theme="1"/>
        <rFont val="David"/>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</si>
  <si>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</si>
  <si>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</si>
  <si>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</si>
  <si>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</si>
  <si>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</si>
  <si>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</si>
  <si>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</si>
  <si>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</si>
  <si>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</si>
  <si>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</si>
  <si>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</si>
  <si>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</si>
  <si>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</si>
  <si>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</si>
  <si>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</si>
  <si>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</si>
  <si>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</si>
  <si>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</si>
  <si>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</si>
  <si>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</si>
  <si>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</si>
  <si>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</si>
  <si>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</si>
  <si>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rPr>
      <t>ההכנסה היא בסך 200,000 ש"ח</t>
    </r>
    <r>
      <rPr>
        <sz val="12"/>
        <color theme="1"/>
        <rFont val="David"/>
      </rPr>
      <t>.</t>
    </r>
  </si>
  <si>
    <t>עסקה 9.1</t>
  </si>
  <si>
    <t>עסקה 9.2</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</si>
  <si>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</si>
  <si>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</si>
  <si>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</si>
  <si>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</si>
  <si>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</si>
  <si>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</si>
  <si>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מסים על ההכנסה בסך 17,000 ש"ח.</t>
    </r>
  </si>
  <si>
    <t>עסקה 10</t>
  </si>
  <si>
    <t>בנכס מזומן</t>
  </si>
  <si>
    <r>
      <t xml:space="preserve">החברה הכריזה ושילמה דיבידנד בשיעור 10% </t>
    </r>
    <r>
      <rPr>
        <b/>
        <u/>
        <sz val="12"/>
        <color theme="1"/>
        <rFont val="David"/>
      </rPr>
      <t>מהרווח הנקי</t>
    </r>
    <r>
      <rPr>
        <b/>
        <sz val="12"/>
        <color theme="1"/>
        <rFont val="David"/>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</si>
  <si>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</si>
  <si>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</si>
  <si>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</si>
  <si>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</si>
  <si>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</si>
  <si>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</si>
  <si>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</si>
  <si>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</si>
  <si>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</si>
  <si>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</si>
  <si>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</si>
  <si>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</si>
  <si>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</si>
  <si>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rPr>
      <t>היקפי הפעילות</t>
    </r>
    <r>
      <rPr>
        <sz val="12"/>
        <color theme="1"/>
        <rFont val="David"/>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</si>
  <si>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</si>
  <si>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</si>
  <si>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</si>
  <si>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</si>
  <si>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</si>
  <si>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</si>
  <si>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</si>
  <si>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rPr>
      <t>הדוח על השינויים בהון</t>
    </r>
    <r>
      <rPr>
        <sz val="12"/>
        <color theme="1"/>
        <rFont val="David"/>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</si>
  <si>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</si>
  <si>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</si>
  <si>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</si>
  <si>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</si>
  <si>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</si>
  <si>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</si>
  <si>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</si>
  <si>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</si>
  <si>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</si>
  <si>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</si>
  <si>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</si>
  <si>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</si>
  <si>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</si>
  <si>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</si>
  <si>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rPr>
      <t>הבעלים מזרים לחברה משאבים (כסף)</t>
    </r>
    <r>
      <rPr>
        <sz val="12"/>
        <color theme="1"/>
        <rFont val="David"/>
      </rPr>
      <t xml:space="preserve"> ובתמורה, </t>
    </r>
    <r>
      <rPr>
        <u/>
        <sz val="12"/>
        <color theme="1"/>
        <rFont val="David"/>
      </rPr>
      <t>מקבל נייר ערך (מניה)</t>
    </r>
  </si>
  <si>
    <r>
      <t xml:space="preserve">שמקנה לו </t>
    </r>
    <r>
      <rPr>
        <u/>
        <sz val="12"/>
        <color theme="1"/>
        <rFont val="David"/>
      </rPr>
      <t>זכויות מסוימות באותה חברה</t>
    </r>
    <r>
      <rPr>
        <sz val="12"/>
        <color theme="1"/>
        <rFont val="David"/>
      </rPr>
      <t xml:space="preserve"> (כגון זכות לחלק מהרווח המחולק - דיבידנד, וזכות להשתתף בהצבעה בדבר החלטות בחברה).</t>
    </r>
  </si>
  <si>
    <r>
      <t xml:space="preserve">נשים לב: </t>
    </r>
    <r>
      <rPr>
        <u/>
        <sz val="12"/>
        <color theme="1"/>
        <rFont val="David"/>
      </rPr>
      <t>השקעת בעלים זו היא מקור מימון הוני (הון עצמי)</t>
    </r>
    <r>
      <rPr>
        <sz val="12"/>
        <color theme="1"/>
        <rFont val="David"/>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</si>
  <si>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rPr>
      <t>מהבעלים</t>
    </r>
    <r>
      <rPr>
        <sz val="12"/>
        <color theme="1"/>
        <rFont val="David"/>
      </rPr>
      <t xml:space="preserve"> ולהנות מרווח עתידי </t>
    </r>
    <r>
      <rPr>
        <u/>
        <sz val="12"/>
        <color theme="1"/>
        <rFont val="David"/>
      </rPr>
      <t>אם יתקיים</t>
    </r>
    <r>
      <rPr>
        <sz val="12"/>
        <color theme="1"/>
        <rFont val="David"/>
      </rPr>
      <t xml:space="preserve">. </t>
    </r>
  </si>
  <si>
    <t>בקצרה:</t>
  </si>
  <si>
    <t>הלוואה 
ל-4 שנים</t>
  </si>
  <si>
    <t xml:space="preserve">200,000 - 56,000 = </t>
  </si>
  <si>
    <r>
      <t xml:space="preserve">הכרזת </t>
    </r>
    <r>
      <rPr>
        <b/>
        <u/>
        <sz val="12"/>
        <color theme="1"/>
        <rFont val="David"/>
      </rPr>
      <t>הדיבידנד מקטינה את ההון העצמי</t>
    </r>
    <r>
      <rPr>
        <sz val="12"/>
        <color theme="1"/>
        <rFont val="David"/>
      </rPr>
      <t xml:space="preserve"> - ואם הוא שולם בפועל, </t>
    </r>
    <r>
      <rPr>
        <b/>
        <u/>
        <sz val="12"/>
        <color theme="1"/>
        <rFont val="David"/>
      </rPr>
      <t>המזומן יקטן</t>
    </r>
    <r>
      <rPr>
        <sz val="12"/>
        <color theme="1"/>
        <rFont val="David"/>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</si>
  <si>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</si>
  <si>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</si>
  <si>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</si>
  <si>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</si>
  <si>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rPr>
      <t>31.12.2016</t>
    </r>
  </si>
  <si>
    <r>
      <t xml:space="preserve">מאזן </t>
    </r>
    <r>
      <rPr>
        <b/>
        <sz val="12"/>
        <color rgb="FFFF0000"/>
        <rFont val="David"/>
      </rPr>
      <t>31.12.2017</t>
    </r>
  </si>
  <si>
    <t>שווה להון העצמי הסופי (לתום השנה)</t>
  </si>
  <si>
    <r>
      <t xml:space="preserve">שימו לב: לעתים </t>
    </r>
    <r>
      <rPr>
        <b/>
        <sz val="12"/>
        <color theme="1"/>
        <rFont val="David"/>
      </rPr>
      <t>נכסים</t>
    </r>
    <r>
      <rPr>
        <sz val="12"/>
        <color theme="1"/>
        <rFont val="David"/>
      </rPr>
      <t xml:space="preserve"> נקראים ״</t>
    </r>
    <r>
      <rPr>
        <b/>
        <sz val="12"/>
        <color theme="1"/>
        <rFont val="David"/>
      </rPr>
      <t>רכוש</t>
    </r>
    <r>
      <rPr>
        <sz val="12"/>
        <color theme="1"/>
        <rFont val="David"/>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</si>
  <si>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</si>
  <si>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</si>
  <si>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</si>
  <si>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</si>
  <si>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</si>
  <si>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</si>
  <si>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</si>
  <si>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rPr>
      <t>חשבונאות הפיננסית</t>
    </r>
    <r>
      <rPr>
        <sz val="11"/>
        <color theme="1"/>
        <rFont val="David"/>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</si>
  <si>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rPr>
      <t>חשבונאות</t>
    </r>
  </si>
  <si>
    <r>
      <rPr>
        <b/>
        <sz val="11"/>
        <color theme="1"/>
        <rFont val="David"/>
      </rPr>
      <t>ניהולית</t>
    </r>
    <r>
      <rPr>
        <sz val="11"/>
        <color theme="1"/>
        <rFont val="David"/>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</si>
  <si>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</si>
  <si>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</si>
  <si>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</si>
  <si>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</si>
  <si>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rPr>
      <t>שימו לב, סימון בסוגריים מסמל ערך שלילי בחשבונאות</t>
    </r>
    <r>
      <rPr>
        <sz val="12"/>
        <color theme="1"/>
        <rFont val="David"/>
      </rPr>
      <t>.</t>
    </r>
  </si>
  <si>
    <t>סה״כ</t>
  </si>
  <si>
    <r>
      <t xml:space="preserve">א. מהי החשבונאות </t>
    </r>
    <r>
      <rPr>
        <b/>
        <sz val="12"/>
        <color theme="1"/>
        <rFont val="David"/>
      </rPr>
      <t>הפיננסית</t>
    </r>
    <r>
      <rPr>
        <sz val="12"/>
        <color theme="1"/>
        <rFont val="David"/>
      </rPr>
      <t xml:space="preserve"> ומהי מטרתה?</t>
    </r>
  </si>
  <si>
    <r>
      <t xml:space="preserve">א. מהי החשבונאות </t>
    </r>
    <r>
      <rPr>
        <b/>
        <u/>
        <sz val="12"/>
        <color theme="1"/>
        <rFont val="David"/>
      </rPr>
      <t>פיננסית</t>
    </r>
    <r>
      <rPr>
        <b/>
        <sz val="12"/>
        <color theme="1"/>
        <rFont val="David"/>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</si>
  <si>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</si>
  <si>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</si>
  <si>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</si>
  <si>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</si>
  <si>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</si>
  <si>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</si>
  <si>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</si>
  <si>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</si>
  <si>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</si>
  <si>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</si>
  <si>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</si>
  <si>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</si>
  <si>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</si>
  <si>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</si>
  <si>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</si>
  <si>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</si>
  <si>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</si>
  <si>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</si>
  <si>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</si>
  <si>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</si>
  <si>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</si>
  <si>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</si>
  <si>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</si>
  <si>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</si>
  <si>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</si>
  <si>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</si>
  <si>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</si>
  <si>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</si>
  <si>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</si>
  <si>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</si>
  <si>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</si>
  <si>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</si>
  <si>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</si>
  <si>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</si>
  <si>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</si>
  <si>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</si>
  <si>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</si>
  <si>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</si>
  <si>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</si>
  <si>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</si>
  <si>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</si>
  <si>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</si>
  <si>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</si>
  <si>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</si>
  <si>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</si>
  <si>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</si>
  <si>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</si>
  <si>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</si>
  <si>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</si>
  <si>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</si>
  <si>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</si>
  <si>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</si>
  <si>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</si>
  <si>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</si>
  <si>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</si>
  <si>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</si>
  <si>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</si>
  <si>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</si>
  <si>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</si>
  <si>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</si>
  <si>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</si>
  <si>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</si>
  <si>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</si>
  <si>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</si>
  <si>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</si>
  <si>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</si>
  <si>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</si>
  <si>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</si>
  <si>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</si>
  <si>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</si>
  <si>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</si>
  <si>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</si>
  <si>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</si>
  <si>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</si>
  <si>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</si>
  <si>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</si>
  <si>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</si>
  <si>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</si>
  <si>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</si>
  <si>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</si>
  <si>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</si>
  <si>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</si>
  <si>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</si>
  <si>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</si>
  <si>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</si>
  <si>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</si>
  <si>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</si>
  <si>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</si>
  <si>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</si>
  <si>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</si>
  <si>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</si>
  <si>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</si>
  <si>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</si>
  <si>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</si>
  <si>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</si>
  <si>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</si>
  <si>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</si>
  <si>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</si>
  <si>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</si>
  <si>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</si>
  <si>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</si>
  <si>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</si>
  <si>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</si>
  <si>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</si>
  <si>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</si>
  <si>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</si>
  <si>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</si>
  <si>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</si>
  <si>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</si>
  <si>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</si>
  <si>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</si>
  <si>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</si>
  <si>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</si>
  <si>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</si>
  <si>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</si>
  <si>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</si>
  <si>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</si>
  <si>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</si>
  <si>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</si>
  <si>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</si>
  <si>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</si>
  <si>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</si>
  <si>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</si>
  <si>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</si>
  <si>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</si>
  <si>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</si>
  <si>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</si>
  <si>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</si>
  <si>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</si>
  <si>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</si>
  <si>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</si>
  <si>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</si>
  <si>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</si>
  <si>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</si>
  <si>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</si>
  <si>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</si>
  <si>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</si>
  <si>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</si>
  <si>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</si>
  <si>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</si>
  <si>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</si>
  <si>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</si>
  <si>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</si>
  <si>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</si>
  <si>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</si>
  <si>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</si>
  <si>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</si>
  <si>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</si>
  <si>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</si>
  <si>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</si>
  <si>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</si>
  <si>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</si>
  <si>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</si>
  <si>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</si>
  <si>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</si>
  <si>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</si>
  <si>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</si>
  <si>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</si>
  <si>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</si>
  <si>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</si>
  <si>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</si>
  <si>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</si>
  <si>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</si>
  <si>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</si>
  <si>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</si>
  <si>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</si>
  <si>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</si>
  <si>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</si>
  <si>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</si>
  <si>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</si>
  <si>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</si>
  <si>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</si>
  <si>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</si>
  <si>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</si>
  <si>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</si>
  <si>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</si>
  <si>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</si>
  <si>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</si>
  <si>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</si>
  <si>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</si>
  <si>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</si>
  <si>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</si>
  <si>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</si>
  <si>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</si>
  <si>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</si>
  <si>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</si>
  <si>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</si>
  <si>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</si>
  <si>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</si>
  <si>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</si>
  <si>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</si>
  <si>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</si>
  <si>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</si>
  <si>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</si>
  <si>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</si>
  <si>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rPr>
      <t>דוח ייעוד הרווחים</t>
    </r>
    <r>
      <rPr>
        <b/>
        <sz val="12"/>
        <rFont val="David"/>
      </rPr>
      <t xml:space="preserve"> (מקטין את העודפים) </t>
    </r>
    <r>
      <rPr>
        <b/>
        <u/>
        <sz val="12"/>
        <rFont val="David"/>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</si>
  <si>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</si>
  <si>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</si>
  <si>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</si>
  <si>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</si>
  <si>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</si>
  <si>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</si>
  <si>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</si>
  <si>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</si>
  <si>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</si>
  <si>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</si>
  <si>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</si>
  <si>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</si>
  <si>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</si>
  <si>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</si>
  <si>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</si>
  <si>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</si>
  <si>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</si>
  <si>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</si>
  <si>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</si>
  <si>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</si>
  <si>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</si>
  <si>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</si>
  <si>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</si>
  <si>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</si>
  <si>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</si>
  <si>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</si>
  <si>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</si>
  <si>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</si>
  <si>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</si>
  <si>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</si>
  <si>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</si>
  <si>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</si>
  <si>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</si>
  <si>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</si>
  <si>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</si>
  <si>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</si>
  <si>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</si>
  <si>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</si>
  <si>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</si>
  <si>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</si>
  <si>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</si>
  <si>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</si>
  <si>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</si>
  <si>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</si>
  <si>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</si>
  <si>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</si>
  <si>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</si>
  <si>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</si>
  <si>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</si>
  <si>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</si>
  <si>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</si>
  <si>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</si>
  <si>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</si>
  <si>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</si>
  <si>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</si>
  <si>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</si>
  <si>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</si>
  <si>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</si>
  <si>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</si>
  <si>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</si>
  <si>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</si>
  <si>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</si>
  <si>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</si>
  <si>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</si>
  <si>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</si>
  <si>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</si>
  <si>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</si>
  <si>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</si>
  <si>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</si>
  <si>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</si>
  <si>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</si>
  <si>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</si>
  <si>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</si>
  <si>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</si>
  <si>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</si>
  <si>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</si>
  <si>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</si>
  <si>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</si>
  <si>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</si>
  <si>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</si>
  <si>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</si>
  <si>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</si>
  <si>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</si>
  <si>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</si>
  <si>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</si>
  <si>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</si>
  <si>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</si>
  <si>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</si>
  <si>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</si>
  <si>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</si>
  <si>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</si>
  <si>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</si>
  <si>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</si>
  <si>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</si>
  <si>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</si>
  <si>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</si>
  <si>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</si>
  <si>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</si>
  <si>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</si>
  <si>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</si>
  <si>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</si>
  <si>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</si>
  <si>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</si>
  <si>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</si>
  <si>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</si>
  <si>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</si>
  <si>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</si>
  <si>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</si>
  <si>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</si>
  <si>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</si>
  <si>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</si>
  <si>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</si>
  <si>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</si>
  <si>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</si>
  <si>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</si>
  <si>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</si>
  <si>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</si>
  <si>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</si>
  <si>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</si>
  <si>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</si>
  <si>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</si>
  <si>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</si>
  <si>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</si>
  <si>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</si>
  <si>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</si>
  <si>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</si>
  <si>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</si>
  <si>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</si>
  <si>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</si>
  <si>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</si>
  <si>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</si>
  <si>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</si>
  <si>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</si>
  <si>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</si>
  <si>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</si>
  <si>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</si>
  <si>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</si>
  <si>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</si>
  <si>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</si>
  <si>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</si>
  <si>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</si>
  <si>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</si>
  <si>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</si>
  <si>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</si>
  <si>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</si>
  <si>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</si>
  <si>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</si>
  <si>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</si>
  <si>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</si>
  <si>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</si>
  <si>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</si>
  <si>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</si>
  <si>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</si>
  <si>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</si>
  <si>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</si>
  <si>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</si>
  <si>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</si>
  <si>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</si>
  <si>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</si>
  <si>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</si>
  <si>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</si>
  <si>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</si>
  <si>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</si>
  <si>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</si>
  <si>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</si>
  <si>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</si>
  <si>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</si>
  <si>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</si>
  <si>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</si>
  <si>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</si>
  <si>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</si>
  <si>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</si>
  <si>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</si>
  <si>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</si>
  <si>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</si>
  <si>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</si>
  <si>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</si>
  <si>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</si>
  <si>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</si>
  <si>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</si>
  <si>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</si>
  <si>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</si>
  <si>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</si>
  <si>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</si>
  <si>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</si>
  <si>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</si>
  <si>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</si>
  <si>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</si>
  <si>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</si>
  <si>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</si>
  <si>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</si>
  <si>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</si>
  <si>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</si>
  <si>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</si>
  <si>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</si>
  <si>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</si>
  <si>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</si>
  <si>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</si>
  <si>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</si>
  <si>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</si>
  <si>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</si>
  <si>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</si>
  <si>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</si>
  <si>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</si>
  <si>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</si>
  <si>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</si>
  <si>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</si>
  <si>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</si>
  <si>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</si>
  <si>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</si>
  <si>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</si>
  <si>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</si>
  <si>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</si>
  <si>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</si>
  <si>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</si>
  <si>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</si>
  <si>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</si>
  <si>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</si>
  <si>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</si>
  <si>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</si>
  <si>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</si>
  <si>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</si>
  <si>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</si>
  <si>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</si>
  <si>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</si>
  <si>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</si>
  <si>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</si>
  <si>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</si>
  <si>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</si>
  <si>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</si>
  <si>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</si>
  <si>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</si>
  <si>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</si>
  <si>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</si>
  <si>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</si>
  <si>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</si>
  <si>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</si>
  <si>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</si>
  <si>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</si>
  <si>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</si>
  <si>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</si>
  <si>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</si>
  <si>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</si>
  <si>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</si>
  <si>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</si>
  <si>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</si>
  <si>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</si>
  <si>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</si>
  <si>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</si>
  <si>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</si>
  <si>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</si>
  <si>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</si>
  <si>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</si>
  <si>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</si>
  <si>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</si>
  <si>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</si>
  <si>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</si>
  <si>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</si>
  <si>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</si>
  <si>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</si>
  <si>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</si>
  <si>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</si>
  <si>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</si>
  <si>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</si>
  <si>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</si>
  <si>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</si>
  <si>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</si>
  <si>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</si>
  <si>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</si>
  <si>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</si>
  <si>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</si>
  <si>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</si>
  <si>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</si>
  <si>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</si>
  <si>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</si>
  <si>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</si>
  <si>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</si>
  <si>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</si>
  <si>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</si>
  <si>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</si>
  <si>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</si>
  <si>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</si>
  <si>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</si>
  <si>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</si>
  <si>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</si>
  <si>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</si>
  <si>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</si>
  <si>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</si>
  <si>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</si>
  <si>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</si>
  <si>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</si>
  <si>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</si>
  <si>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</si>
  <si>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</si>
  <si>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</si>
  <si>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</si>
  <si>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</si>
  <si>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</si>
  <si>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</si>
  <si>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</si>
  <si>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</si>
  <si>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</si>
  <si>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</si>
  <si>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</si>
  <si>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</si>
  <si>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</si>
  <si>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</si>
  <si>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</si>
  <si>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</si>
  <si>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</si>
  <si>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</si>
  <si>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</si>
  <si>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</si>
  <si>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</si>
  <si>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</si>
  <si>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</si>
  <si>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</si>
  <si>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</si>
  <si>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</si>
  <si>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</si>
  <si>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</si>
  <si>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</si>
  <si>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</si>
  <si>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</si>
  <si>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</si>
  <si>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</si>
  <si>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</si>
  <si>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</si>
  <si>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</si>
  <si>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</si>
  <si>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</si>
  <si>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</si>
  <si>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</si>
  <si>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</si>
  <si>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</si>
  <si>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</si>
  <si>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</si>
  <si>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</si>
  <si>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</si>
  <si>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</si>
  <si>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</si>
  <si>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</si>
  <si>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</si>
  <si>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</si>
  <si>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</si>
  <si>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</si>
  <si>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</si>
  <si>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</si>
  <si>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</si>
  <si>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</si>
  <si>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</si>
  <si>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</si>
  <si>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</si>
  <si>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</si>
  <si>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</si>
  <si>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ב. חשבו יתרת ההלח״מ ליום 31.12.2022 ואת ההוצאה לחובות מסופקים לשנת 2022. </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</si>
  <si>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</si>
  <si>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</si>
  <si>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</si>
  <si>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</si>
  <si>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</si>
  <si>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</si>
  <si>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</si>
  <si>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</si>
  <si>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</si>
  <si>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</si>
  <si>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</si>
  <si>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</si>
  <si>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</si>
  <si>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</si>
  <si>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</si>
  <si>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</si>
  <si>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</si>
  <si>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</si>
  <si>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</si>
  <si>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</si>
  <si>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</si>
  <si>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</si>
  <si>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</si>
  <si>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</si>
  <si>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</si>
  <si>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</si>
  <si>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</si>
  <si>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</si>
  <si>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</si>
  <si>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</si>
  <si>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</si>
  <si>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</si>
  <si>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</si>
  <si>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</si>
  <si>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</si>
  <si>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</si>
  <si>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</si>
  <si>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</si>
  <si>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</si>
  <si>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</si>
  <si>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</si>
  <si>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</si>
  <si>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</si>
  <si>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</si>
  <si>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</si>
  <si>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</si>
  <si>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הוצאות הלח״מ</t>
  </si>
  <si>
    <t>הוסף: שיקים לגבייה</t>
  </si>
  <si>
    <t>סך הכל לקוחות</t>
  </si>
  <si>
    <t>בניכוי יתרת הלח״מ</t>
  </si>
  <si>
    <t>יתרת הלח״מ והוצאות הלח״מ</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</si>
  <si>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</si>
  <si>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</si>
  <si>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</si>
  <si>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</si>
  <si>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</si>
  <si>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</si>
  <si>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</si>
  <si>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</si>
  <si>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</si>
  <si>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</si>
  <si>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rPr>
      <t xml:space="preserve"> בשיטה האלטרנטיבית שנקראת </t>
    </r>
    <r>
      <rPr>
        <u/>
        <sz val="12"/>
        <color theme="1"/>
        <rFont val="David"/>
      </rPr>
      <t>הגישה / השיטה התמידית</t>
    </r>
    <r>
      <rPr>
        <sz val="12"/>
        <color theme="1"/>
        <rFont val="David"/>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</si>
  <si>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</si>
  <si>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</si>
  <si>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</si>
  <si>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</si>
  <si>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</si>
  <si>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</si>
  <si>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</si>
  <si>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</si>
  <si>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</si>
  <si>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</si>
  <si>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</si>
  <si>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</si>
  <si>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</si>
  <si>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</si>
  <si>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</si>
  <si>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</si>
  <si>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</si>
  <si>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</si>
  <si>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</si>
  <si>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</si>
  <si>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</si>
  <si>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</si>
  <si>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</si>
  <si>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</si>
  <si>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</si>
  <si>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</si>
  <si>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</si>
  <si>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</si>
  <si>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</si>
  <si>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</si>
  <si>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</si>
  <si>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</si>
  <si>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</si>
  <si>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</si>
  <si>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</si>
  <si>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</si>
  <si>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</si>
  <si>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</si>
  <si>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</si>
  <si>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</si>
  <si>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</si>
  <si>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</si>
  <si>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</si>
  <si>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</si>
  <si>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</si>
  <si>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</si>
  <si>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</si>
  <si>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</si>
  <si>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</si>
  <si>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</si>
  <si>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</si>
  <si>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</si>
  <si>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</si>
  <si>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</si>
  <si>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</si>
  <si>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</si>
  <si>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</si>
  <si>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</si>
  <si>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</si>
  <si>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</si>
  <si>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</si>
  <si>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</si>
  <si>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</si>
  <si>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</si>
  <si>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</si>
  <si>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</si>
  <si>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</si>
  <si>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</si>
  <si>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</si>
  <si>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</si>
  <si>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</si>
  <si>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</si>
  <si>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</si>
  <si>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</si>
  <si>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</si>
  <si>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</si>
  <si>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</si>
  <si>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</si>
  <si>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</si>
  <si>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</si>
  <si>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</si>
  <si>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</si>
  <si>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</si>
  <si>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</si>
  <si>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</si>
  <si>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</si>
  <si>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</si>
  <si>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</si>
  <si>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</si>
  <si>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</si>
  <si>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</si>
  <si>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</si>
  <si>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</si>
  <si>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</si>
  <si>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</si>
  <si>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</si>
  <si>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</si>
  <si>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</si>
  <si>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</si>
  <si>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</si>
  <si>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</si>
  <si>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</si>
  <si>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</si>
  <si>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</si>
  <si>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</si>
  <si>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</si>
  <si>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</si>
  <si>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</si>
  <si>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</si>
  <si>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</si>
  <si>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</si>
  <si>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</si>
  <si>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</si>
  <si>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</si>
  <si>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</si>
  <si>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</si>
  <si>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</si>
  <si>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</si>
  <si>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</si>
  <si>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</si>
  <si>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</si>
  <si>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</si>
  <si>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</si>
  <si>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</si>
  <si>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</si>
  <si>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</si>
  <si>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</si>
  <si>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</si>
  <si>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</si>
  <si>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</si>
  <si>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</si>
  <si>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</si>
  <si>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</si>
  <si>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</si>
  <si>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</si>
  <si>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</si>
  <si>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</si>
  <si>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</si>
  <si>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</si>
  <si>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</si>
  <si>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</si>
  <si>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</si>
  <si>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</si>
  <si>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</si>
  <si>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</si>
  <si>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</si>
  <si>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</si>
  <si>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</si>
  <si>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</si>
  <si>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</si>
  <si>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</si>
  <si>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</si>
  <si>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</si>
  <si>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</si>
  <si>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</si>
  <si>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</si>
  <si>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</si>
  <si>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</si>
  <si>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</si>
  <si>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</si>
  <si>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</si>
  <si>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</si>
  <si>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</si>
  <si>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</si>
  <si>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</si>
  <si>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</si>
  <si>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</si>
  <si>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</si>
  <si>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</si>
  <si>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</si>
  <si>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</si>
  <si>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</si>
  <si>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</si>
  <si>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</si>
  <si>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</si>
  <si>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</si>
  <si>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</si>
  <si>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</si>
  <si>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</si>
  <si>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</si>
  <si>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</si>
  <si>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</si>
  <si>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</si>
  <si>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</si>
  <si>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</si>
  <si>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</si>
  <si>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</si>
  <si>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</si>
  <si>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</si>
  <si>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</si>
  <si>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</si>
  <si>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</si>
  <si>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</si>
  <si>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</si>
  <si>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</si>
  <si>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</si>
  <si>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</si>
  <si>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</si>
  <si>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</si>
  <si>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</si>
  <si>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</si>
  <si>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</si>
  <si>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</si>
  <si>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</si>
  <si>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</si>
  <si>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rPr>
      <t>לא תכלול</t>
    </r>
    <r>
      <rPr>
        <sz val="12"/>
        <color rgb="FF000000"/>
        <rFont val="David"/>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</si>
  <si>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</si>
  <si>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</si>
  <si>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</si>
  <si>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</si>
  <si>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</si>
  <si>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rPr>
      <t>עלות</t>
    </r>
    <r>
      <rPr>
        <sz val="12"/>
        <color rgb="FF000000"/>
        <rFont val="David"/>
      </rPr>
      <t xml:space="preserve"> = עלות היסטורית, נשארת קבועה עד המכירה:</t>
    </r>
  </si>
  <si>
    <t>הוצאות פחת:</t>
  </si>
  <si>
    <r>
      <t xml:space="preserve">הוצאות הפחת מחושבות </t>
    </r>
    <r>
      <rPr>
        <b/>
        <sz val="12"/>
        <color rgb="FF000000"/>
        <rFont val="David"/>
      </rPr>
      <t xml:space="preserve">בשיטת הקו הישר </t>
    </r>
    <r>
      <rPr>
        <sz val="12"/>
        <color rgb="FF000000"/>
        <rFont val="David"/>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</si>
  <si>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</si>
  <si>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</si>
  <si>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</si>
  <si>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</si>
  <si>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rPr>
      <t>שלמה</t>
    </r>
    <r>
      <rPr>
        <sz val="12"/>
        <color rgb="FF000000"/>
        <rFont val="David"/>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</si>
  <si>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</si>
  <si>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</si>
  <si>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</si>
  <si>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</si>
  <si>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</si>
  <si>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</si>
  <si>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</si>
  <si>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</si>
  <si>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</si>
  <si>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</si>
  <si>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</si>
  <si>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</si>
  <si>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</si>
  <si>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</si>
  <si>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</si>
  <si>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</si>
  <si>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</si>
  <si>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</si>
  <si>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</si>
  <si>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</si>
  <si>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</si>
  <si>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</si>
  <si>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</si>
  <si>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</si>
  <si>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</si>
  <si>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</si>
  <si>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</si>
  <si>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</si>
  <si>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</si>
  <si>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</si>
  <si>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</si>
  <si>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</si>
  <si>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</si>
  <si>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</si>
  <si>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</si>
  <si>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</si>
  <si>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</si>
  <si>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</si>
  <si>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</si>
  <si>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</si>
  <si>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</si>
  <si>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</si>
  <si>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</si>
  <si>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</si>
  <si>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</si>
  <si>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</si>
  <si>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</si>
  <si>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</si>
  <si>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</si>
  <si>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</si>
  <si>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</si>
  <si>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</si>
  <si>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</si>
  <si>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</si>
  <si>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</si>
  <si>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</si>
  <si>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</si>
  <si>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</si>
  <si>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</si>
  <si>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</si>
  <si>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</si>
  <si>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</si>
  <si>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</si>
  <si>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</si>
  <si>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</si>
  <si>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</si>
  <si>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</si>
  <si>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</si>
  <si>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</si>
  <si>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rPr>
      <t>בשיטת הקו הישר</t>
    </r>
    <r>
      <rPr>
        <sz val="12"/>
        <color rgb="FF000000"/>
        <rFont val="David"/>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</si>
  <si>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</si>
  <si>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</si>
  <si>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</si>
  <si>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</si>
  <si>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</si>
  <si>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</si>
  <si>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</si>
  <si>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</si>
  <si>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</si>
  <si>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</si>
  <si>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</si>
  <si>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</si>
  <si>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</si>
  <si>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</si>
  <si>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</si>
  <si>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rPr>
      <t>סכום</t>
    </r>
  </si>
  <si>
    <r>
      <rPr>
        <b/>
        <sz val="12"/>
        <color rgb="FF000000"/>
        <rFont val="David"/>
      </rPr>
      <t>ספרות השנים</t>
    </r>
    <r>
      <rPr>
        <sz val="12"/>
        <color rgb="FF000000"/>
        <rFont val="David"/>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</si>
  <si>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</si>
  <si>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</si>
  <si>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</si>
  <si>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</si>
  <si>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</si>
  <si>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</si>
  <si>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</si>
  <si>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</si>
  <si>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</si>
  <si>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</si>
  <si>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</si>
  <si>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</si>
  <si>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</si>
  <si>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</si>
  <si>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</si>
  <si>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</si>
  <si>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</si>
  <si>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</si>
  <si>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</si>
  <si>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</si>
  <si>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</si>
  <si>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rPr>
      <t>3</t>
    </r>
    <r>
      <rPr>
        <u/>
        <sz val="12"/>
        <color rgb="FF000000"/>
        <rFont val="David"/>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</si>
  <si>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</si>
  <si>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rPr>
      <t>9/12</t>
    </r>
    <r>
      <rPr>
        <sz val="12"/>
        <color rgb="FF000000"/>
        <rFont val="David"/>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</si>
  <si>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</si>
  <si>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</si>
  <si>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</si>
  <si>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</si>
  <si>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</si>
  <si>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</si>
  <si>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</si>
  <si>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rPr>
      <t>הנצבר</t>
    </r>
    <r>
      <rPr>
        <sz val="12"/>
        <color rgb="FF000000"/>
        <rFont val="David"/>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</si>
  <si>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</si>
  <si>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</si>
  <si>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</si>
  <si>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</si>
  <si>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</si>
  <si>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</si>
  <si>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</si>
  <si>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</si>
  <si>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</si>
  <si>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</si>
  <si>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</si>
  <si>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</si>
  <si>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</si>
  <si>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</si>
  <si>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</si>
  <si>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</si>
  <si>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</si>
  <si>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</si>
  <si>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</si>
  <si>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rPr>
      <t>הקו הישר</t>
    </r>
    <r>
      <rPr>
        <sz val="12"/>
        <color rgb="FF000000"/>
        <rFont val="David"/>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</si>
  <si>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</si>
  <si>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</si>
  <si>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</si>
  <si>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</si>
  <si>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</si>
  <si>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</si>
  <si>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</si>
  <si>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</si>
  <si>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</si>
  <si>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</si>
  <si>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</si>
  <si>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</si>
  <si>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</si>
  <si>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</si>
  <si>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</si>
  <si>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</si>
  <si>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</si>
  <si>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</si>
  <si>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הוצאות פחת 2023</t>
  </si>
  <si>
    <t>פחת נצבר 31.12.2023</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</si>
  <si>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</si>
  <si>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</si>
  <si>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</si>
  <si>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</si>
  <si>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</si>
  <si>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</si>
  <si>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</si>
  <si>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</si>
  <si>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</si>
  <si>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</si>
  <si>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</si>
  <si>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</si>
  <si>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</si>
  <si>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</si>
  <si>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</si>
  <si>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</si>
  <si>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</si>
  <si>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</si>
  <si>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</si>
  <si>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</si>
  <si>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</si>
  <si>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</si>
  <si>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</si>
  <si>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</si>
  <si>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</si>
  <si>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</si>
  <si>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</si>
  <si>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</si>
  <si>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</si>
  <si>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</si>
  <si>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</si>
  <si>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</si>
  <si>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</si>
  <si>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</si>
  <si>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</si>
  <si>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</si>
  <si>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</si>
  <si>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</si>
  <si>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</si>
  <si>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</si>
  <si>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</si>
  <si>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</si>
  <si>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</si>
  <si>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</si>
  <si>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</si>
  <si>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</si>
  <si>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</si>
  <si>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</si>
  <si>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</si>
  <si>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</si>
  <si>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</si>
  <si>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</si>
  <si>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</si>
  <si>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</si>
  <si>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</si>
  <si>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</si>
  <si>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</si>
  <si>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</si>
  <si>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</si>
  <si>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</si>
  <si>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</si>
  <si>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</si>
  <si>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</si>
  <si>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</si>
  <si>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</si>
  <si>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</si>
  <si>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</si>
  <si>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</si>
  <si>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</si>
  <si>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</si>
  <si>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</si>
  <si>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</si>
  <si>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</si>
  <si>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</si>
  <si>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</si>
  <si>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</si>
  <si>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</si>
  <si>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</si>
  <si>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</si>
  <si>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</si>
  <si>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</si>
  <si>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</si>
  <si>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</si>
  <si>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</si>
  <si>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</si>
  <si>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</si>
  <si>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</si>
  <si>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</si>
  <si>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</si>
  <si>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</si>
  <si>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</si>
  <si>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</si>
  <si>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</si>
  <si>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</si>
  <si>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</si>
  <si>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</si>
  <si>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</si>
  <si>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</si>
  <si>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</si>
  <si>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</si>
  <si>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</si>
  <si>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</si>
  <si>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</si>
  <si>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</si>
  <si>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</si>
  <si>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</si>
  <si>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</si>
  <si>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</si>
  <si>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</si>
  <si>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</si>
  <si>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</si>
  <si>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</si>
  <si>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</si>
  <si>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</si>
  <si>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</si>
  <si>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</si>
  <si>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</si>
  <si>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</si>
  <si>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נדל״ן להשקעה</t>
  </si>
  <si>
    <t>אגרות חוב</t>
  </si>
  <si>
    <t>הון מניות מונפק ונפרע</t>
  </si>
  <si>
    <t>קרן הון - פרמיה</t>
  </si>
  <si>
    <t>יתרת רווח (עודפים)</t>
  </si>
  <si>
    <t>הערות:</t>
  </si>
  <si>
    <t>במהלך שנת 2024 רכשה החברה השקעות למסחר בעלות של 15 א׳ ש״ח.</t>
  </si>
  <si>
    <t>לא בוצעו מכירות של פריטי השקעות למסחר במהלך השנה.</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</si>
  <si>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</si>
  <si>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</si>
  <si>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</si>
  <si>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לא בוצעו רכישות / מכירות של פריטי נדל״ן להשקעה. החברה מודדת</t>
  </si>
  <si>
    <t xml:space="preserve">נדל״ן להשקעה לפי שוויו ההוגן, וזוקפת הפרשים לרווח והפסד. </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</si>
  <si>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</si>
  <si>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</si>
  <si>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</si>
  <si>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</si>
  <si>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 xml:space="preserve">במהלך השנה הנפיקה החברה אגרות חוב לזמן ארוך. לא בוצע פדיון חלקי או </t>
  </si>
  <si>
    <t>מלא של אגרות חוב במהלך השנה. ההנפקה בוצעה בתמורה לערך הנקוב.</t>
  </si>
  <si>
    <t>כלל השינויים בהון המניות והפרמיה נובעים מהנפקת מניות במזומן במהלך שנת 2024.</t>
  </si>
  <si>
    <t>הרווח הנקי בחברה לשנת 2024 הסתכם ב-400 אלפי ש״ח. כלל הדיבידנדים שהוכרזו</t>
  </si>
  <si>
    <t xml:space="preserve">בשנת 2024 שולמו במזומן בשנה זו. </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</si>
  <si>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</si>
  <si>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</si>
  <si>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</si>
  <si>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</si>
  <si>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</si>
  <si>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</si>
  <si>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</si>
  <si>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</si>
  <si>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</si>
  <si>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</si>
  <si>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</si>
  <si>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</si>
  <si>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</si>
  <si>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</si>
  <si>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</si>
  <si>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</si>
  <si>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</si>
  <si>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</si>
  <si>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</si>
  <si>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</si>
  <si>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</si>
  <si>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</si>
  <si>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</si>
  <si>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</si>
  <si>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</si>
  <si>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</si>
  <si>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</si>
  <si>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</si>
  <si>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</si>
  <si>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</si>
  <si>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rPr>
      <t>התמורה</t>
    </r>
    <r>
      <rPr>
        <sz val="12"/>
        <color rgb="FF000000"/>
        <rFont val="David"/>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</si>
  <si>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</si>
  <si>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</si>
  <si>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</si>
  <si>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</si>
  <si>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</si>
  <si>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</si>
  <si>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</si>
  <si>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</si>
  <si>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</si>
  <si>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</si>
  <si>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</si>
  <si>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</si>
  <si>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</si>
  <si>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</si>
  <si>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</si>
  <si>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</si>
  <si>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</si>
  <si>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</si>
  <si>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</si>
  <si>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</si>
  <si>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</si>
  <si>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</si>
  <si>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</si>
  <si>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</si>
  <si>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</si>
  <si>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</si>
  <si>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</si>
  <si>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</si>
  <si>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</si>
  <si>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</si>
  <si>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</si>
  <si>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</si>
  <si>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</si>
  <si>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</si>
  <si>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</si>
  <si>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</si>
  <si>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</si>
  <si>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</si>
  <si>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</si>
  <si>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</si>
  <si>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</si>
  <si>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</si>
  <si>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</si>
  <si>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rPr>
      <t xml:space="preserve">שיעור הדיבידנד באחוזים </t>
    </r>
    <r>
      <rPr>
        <sz val="12"/>
        <color rgb="FF000000"/>
        <rFont val="David"/>
      </rPr>
      <t>ב</t>
    </r>
    <r>
      <rPr>
        <b/>
        <sz val="12"/>
        <color rgb="FF000000"/>
        <rFont val="David"/>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</si>
  <si>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</si>
  <si>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</si>
  <si>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</si>
  <si>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</si>
  <si>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</si>
  <si>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</si>
  <si>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</si>
  <si>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</si>
  <si>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</si>
  <si>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</si>
  <si>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</si>
  <si>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</si>
  <si>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</si>
  <si>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</si>
  <si>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</si>
  <si>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</si>
  <si>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</si>
  <si>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</si>
  <si>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</si>
  <si>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</si>
  <si>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</si>
  <si>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</si>
  <si>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</si>
  <si>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</si>
  <si>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</si>
  <si>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</si>
  <si>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r>
      <t xml:space="preserve">מכונות חימום נקניק - </t>
    </r>
    <r>
      <rPr>
        <b/>
        <sz val="12"/>
        <color rgb="FFFF0000"/>
        <rFont val="David"/>
      </rPr>
      <t>עלות מופחתת</t>
    </r>
  </si>
  <si>
    <t>ג. נאחד את סעיפי הון המניות והפרמיה.</t>
  </si>
  <si>
    <r>
      <t xml:space="preserve">הון מניות </t>
    </r>
    <r>
      <rPr>
        <b/>
        <sz val="12"/>
        <color rgb="FFFF0000"/>
        <rFont val="David"/>
      </rPr>
      <t>ופרמיה</t>
    </r>
  </si>
  <si>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</si>
  <si>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</si>
  <si>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</si>
  <si>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</si>
  <si>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</si>
  <si>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</si>
  <si>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</si>
  <si>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פע. שלא במזומן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</si>
  <si>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</si>
  <si>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</si>
  <si>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</si>
  <si>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</si>
  <si>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</si>
  <si>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ירידה במלאי</t>
  </si>
  <si>
    <t>עלייה בספקים</t>
  </si>
  <si>
    <t>רכישת השקעה</t>
  </si>
  <si>
    <t xml:space="preserve">י. רכישת השקעות (למשל, השקעות למסחר, השקעות ברכוש קבוע) במזומן מקבלת ביטוי כתזרים שלילי בפעילות השקעה. </t>
  </si>
  <si>
    <t>הסברים נוספים - לגבי סעיפים מיוחדים:</t>
  </si>
  <si>
    <t>השקעות למסחר:</t>
  </si>
  <si>
    <t>כאשר חלה עליית ערך / ירידת ערך בהשקעות למסחר (שינוי שווי שלא כתוצאה מקניה / מכירה - אלא שינוי שווי בבורסה) מדובר בהכנסות (אם היתה עלייה)</t>
  </si>
  <si>
    <t>או הוצאות (אם היתה ירידה).</t>
  </si>
  <si>
    <r>
      <t xml:space="preserve">אלא שהוצאות / הכנסות אלו </t>
    </r>
    <r>
      <rPr>
        <b/>
        <sz val="12"/>
        <color rgb="FF000000"/>
        <rFont val="David"/>
      </rPr>
      <t>אינן במזומן</t>
    </r>
    <r>
      <rPr>
        <sz val="12"/>
        <color rgb="FF000000"/>
        <rFont val="David"/>
      </rPr>
      <t>. אם לא מכרתי - ורק השווי השתנה - לא נכנס ולא יצא כסף.</t>
    </r>
  </si>
  <si>
    <t xml:space="preserve">לכן, אם הצלחנו לזהות עליה / ירידת ערך, יש לנטרל אותה בהתאמות לפ. שוטפת. </t>
  </si>
  <si>
    <t>למה הכוונה?</t>
  </si>
  <si>
    <t>השקעות למסחר - טיפול במצב שבו יש נתונים על קניה בלבד</t>
  </si>
  <si>
    <t>י״פ</t>
  </si>
  <si>
    <t>תבנית עבודה</t>
  </si>
  <si>
    <t>הוסף - קניית השקעה</t>
  </si>
  <si>
    <t>הוסף - עליית ערך</t>
  </si>
  <si>
    <t>נכה - ירידת ערך</t>
  </si>
  <si>
    <t>השפעה</t>
  </si>
  <si>
    <t>י״ס</t>
  </si>
  <si>
    <t>על הסעיף</t>
  </si>
  <si>
    <t>השפעות על המזומן</t>
  </si>
  <si>
    <t>פ .שוטפת</t>
  </si>
  <si>
    <t>יישום בנתוני השאלה</t>
  </si>
  <si>
    <t>הוסף - עליית ערך - PN</t>
  </si>
  <si>
    <t>עליית ערך</t>
  </si>
  <si>
    <t>מכונות חימום נקניק:</t>
  </si>
  <si>
    <t>שינויים בסעיפי רכוש קבוע הם מבין השינויים המורכבים ביותר בדוח על תזרימי המזומנים.</t>
  </si>
  <si>
    <t>הניתוח שלהם דורש מאיתנו להתחקות אחר השינויים בעלות של הפריטים ובפחת הנצבר בגינם, ולסווג כל תת קטגוריה והשינויים בה בהתאם.</t>
  </si>
  <si>
    <t>הוסף - קניית מכונות נקניק</t>
  </si>
  <si>
    <t>נכה - הוצאות פחת</t>
  </si>
  <si>
    <t>במקרים רבים, יש לבצע ניתוח משנה של רכיבי העלות והפחת הנצבר כדי לחלץ ערכים:</t>
  </si>
  <si>
    <t>עלות פריטי רכוש קבוע:</t>
  </si>
  <si>
    <t>עלות - י״פ</t>
  </si>
  <si>
    <t>עלות - י״ס</t>
  </si>
  <si>
    <t>פחת נצבר - פריטי רכוש קבוע:</t>
  </si>
  <si>
    <t>פחת נצבר - י״פ</t>
  </si>
  <si>
    <t>הוסף - הוצאות פחת</t>
  </si>
  <si>
    <t>פחת נצבר - י״ס</t>
  </si>
  <si>
    <r>
      <t xml:space="preserve">באופן כללי, תבנית העבודה </t>
    </r>
    <r>
      <rPr>
        <b/>
        <sz val="12"/>
        <color rgb="FF000000"/>
        <rFont val="David"/>
      </rPr>
      <t>לתיעוד שינויים בפריטי רכוש קבוע כאשר אין מכירה שלהם</t>
    </r>
    <r>
      <rPr>
        <sz val="12"/>
        <color rgb="FF000000"/>
        <rFont val="David"/>
      </rPr>
      <t>, היא:</t>
    </r>
  </si>
  <si>
    <t>הוסף - קניות השנה - PN</t>
  </si>
  <si>
    <t>קניית מכונה</t>
  </si>
  <si>
    <t>מפגש 7 - הדוח על תזרימי המזומנים - מההתחלה עד הסוף</t>
  </si>
  <si>
    <t xml:space="preserve">במפגש הקודם התחלנו להציג את נייר העבודה של הדוח על תזרימי המזומנים. למדנו כיצד לטפל בסעיפים ה״שוטפים״ הפשוטים ביותר, </t>
  </si>
  <si>
    <t>אך לא סיימנו את הסעיפים המורכבים.</t>
  </si>
  <si>
    <t>ועד הסוף, עם רלוונטיות משמעותית למטלה. בכך נעסוק כעת.</t>
  </si>
  <si>
    <t>תהיתי עם עצמי, האם נכון להשלים את התרגיל מהמפגש הקודם, והחלטתי שלא. לא נפגשנו הרבה זמן, לא תרגלתם. צריך תרגיל שלם, מההתחלה</t>
  </si>
  <si>
    <t>חשוב להדגיש - המפגש הזה הוא מפגש חובה ולא ״חיזוק״. אתם חייבים ללמוד את התכנים שלו. במפגשים הבאים נצטרך להתקדם כבר</t>
  </si>
  <si>
    <t xml:space="preserve">לנושאי החשבונאות הניהולית. </t>
  </si>
  <si>
    <t>כמו כן, במפגש הזה לא נעסוק בצורה רחבה ב״רציונל״ של הדברים, שהובהר בחלק השני של המפגש הקודם. אם אתם צריכים רקע תיאורטי</t>
  </si>
  <si>
    <t xml:space="preserve">או הבנה פחות טכנית, יש לגשת לחלק השני של המפגש הקודם. המפגש הנוכחי קצר, וההספק הטכני חשוב.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</si>
  <si>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</si>
  <si>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</si>
  <si>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</si>
  <si>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</si>
  <si>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</si>
  <si>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</si>
  <si>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</si>
  <si>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</si>
  <si>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</si>
  <si>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</si>
  <si>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</si>
  <si>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</si>
  <si>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</si>
  <si>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</si>
  <si>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</si>
  <si>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</si>
  <si>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</si>
  <si>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</si>
  <si>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</si>
  <si>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</si>
  <si>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</si>
  <si>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</si>
  <si>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</si>
  <si>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</si>
  <si>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</si>
  <si>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</si>
  <si>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</si>
  <si>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</si>
  <si>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</si>
  <si>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</si>
  <si>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</si>
  <si>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</si>
  <si>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</si>
  <si>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</si>
  <si>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</si>
  <si>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</si>
  <si>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</si>
  <si>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</si>
  <si>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</si>
  <si>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</si>
  <si>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</si>
  <si>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</si>
  <si>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</si>
  <si>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</si>
  <si>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</si>
  <si>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</si>
  <si>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</si>
  <si>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</si>
  <si>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</si>
  <si>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</si>
  <si>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</si>
  <si>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</si>
  <si>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</si>
  <si>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שאלה 2</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</si>
  <si>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</si>
  <si>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</si>
  <si>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</si>
  <si>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</si>
  <si>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</si>
  <si>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</si>
  <si>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</si>
  <si>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</si>
  <si>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</si>
  <si>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</si>
  <si>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</si>
  <si>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פתרון שאלה 2</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</si>
  <si>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</si>
  <si>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</si>
  <si>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</si>
  <si>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</si>
  <si>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</si>
  <si>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</si>
  <si>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</si>
  <si>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</si>
  <si>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</si>
  <si>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נטרול - פחת נצבר פריט שנמכר</t>
  </si>
  <si>
    <t>פחת נוסף השנה - ערך מחולץ</t>
  </si>
  <si>
    <t>ע. מופחתת</t>
  </si>
  <si>
    <t>בניכוי עלות הנמכר</t>
  </si>
  <si>
    <t>בתוספת עלות הנרכש - ערך מחולץ</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</si>
  <si>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</si>
  <si>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</si>
  <si>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</si>
  <si>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</si>
  <si>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</si>
  <si>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</si>
  <si>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</si>
  <si>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</si>
  <si>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זהו. לאחר מפגש זה אפשר להגיש את מטלה 12, שאמנם המועד האחרון להגשתה 24.5 - אך אין מה לחכות - במפגש הקרוב כבר עוסקים </t>
  </si>
  <si>
    <t xml:space="preserve">בנושא אחר. </t>
  </si>
  <si>
    <t>לוז מתוכנן למפגשים עד סוף הסמסטר:</t>
  </si>
  <si>
    <t>תוכן</t>
  </si>
  <si>
    <t>קשר למטלה</t>
  </si>
  <si>
    <t>מטלה 13, שאלה 1</t>
  </si>
  <si>
    <t>תמחיר הזמנה ותמחיר תהליך</t>
  </si>
  <si>
    <t>הערות</t>
  </si>
  <si>
    <t>שיעור רגיל עד 12:00</t>
  </si>
  <si>
    <t>מסיימים ב-11:30</t>
  </si>
  <si>
    <t>מטלה 13, שאלות 2 ו-3</t>
  </si>
  <si>
    <t>סוגי עלויות ומיונן, העמסת עקיפות</t>
  </si>
  <si>
    <t>תמחיר ספיגה ותמחיר תרומה, איזון</t>
  </si>
  <si>
    <t>המשך נק׳ איזון והשלמות</t>
  </si>
  <si>
    <t>מטלה 14, שאלות 1 ו-2</t>
  </si>
  <si>
    <t>מטלה 14, שאלה 3</t>
  </si>
  <si>
    <t>מס׳ שיעור</t>
  </si>
  <si>
    <t xml:space="preserve">אני משער שלא נספיק לבצע גם חזרה. לא נורא, כי בכל מקרה אתם צריכים לטחון את כל החומר ומרכז הקורס מתכנן מפגש חזרה מקוון. </t>
  </si>
  <si>
    <t>15.5.2024</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</si>
  <si>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</si>
  <si>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</si>
  <si>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rPr>
      <t>במידה ולא היו מכירות של רכוש קבוע</t>
    </r>
    <r>
      <rPr>
        <sz val="10"/>
        <color rgb="FF000000"/>
        <rFont val="David"/>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</si>
  <si>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</si>
  <si>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</si>
  <si>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rPr>
      <t>מכרה החברה מכונה לחימום נקניק</t>
    </r>
    <r>
      <rPr>
        <sz val="10"/>
        <color rgb="FF000000"/>
        <rFont val="David"/>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</si>
  <si>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</si>
  <si>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</si>
  <si>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</si>
  <si>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</si>
  <si>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שלב 2 - אופן חילוץ רכישה במזומן (פ. השקעה בסימן שלילי):</t>
  </si>
  <si>
    <t>שלב 1 - אופן חילוץ הוצאות הפחת (פ. שוטפת בסימן חיובי):</t>
  </si>
  <si>
    <t>שלב 3 - אופן חישוב רווח ההון / הפסד הון (פ. שוטפת בסימן הפוך):</t>
  </si>
  <si>
    <t>עלות יתרת פתיחה - 31.12.1989</t>
  </si>
  <si>
    <t>עלות יתרת סגירה - 31.12.1990</t>
  </si>
  <si>
    <t>פחת נצבר - יתרת פתיחה 1989</t>
  </si>
  <si>
    <t>פחת נצבר יתרת סגירה 1990</t>
  </si>
  <si>
    <t>נתון:</t>
  </si>
  <si>
    <t xml:space="preserve">50,000 - 18,000 = </t>
  </si>
  <si>
    <t>הפרש חיובי בין תמורת המכירה לע. המופחתת</t>
  </si>
  <si>
    <t>הואיל וכל תמורת המכירה בסך 37,000 נרשמת באופן מלא בפ. השקעה בסימן חיובי,</t>
  </si>
  <si>
    <t>העובדה שהחשבונאות רושמת גם רווח הון - יוצרת כפל רישום מיותר שצריך לנטרל</t>
  </si>
  <si>
    <t>מרווח והפסד, כלומר מפעילות שוטפת.</t>
  </si>
  <si>
    <t>ולכן:</t>
  </si>
  <si>
    <t xml:space="preserve">רווח הון = תמיד התאמה שלילית לפ. שוטפת. </t>
  </si>
  <si>
    <t>הפסד הון = מייצר התאמה חיובית לפ. שוטפת.</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</si>
  <si>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</si>
  <si>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</si>
  <si>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</si>
  <si>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</si>
  <si>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</si>
  <si>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</si>
  <si>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</si>
  <si>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</si>
  <si>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</si>
  <si>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</si>
  <si>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</si>
  <si>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</si>
  <si>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</si>
  <si>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</si>
  <si>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</si>
  <si>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</si>
  <si>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</si>
  <si>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</si>
  <si>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</si>
  <si>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</si>
  <si>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</si>
  <si>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</si>
  <si>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</si>
  <si>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</si>
  <si>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</si>
  <si>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</si>
  <si>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</si>
  <si>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</si>
  <si>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</si>
  <si>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</si>
  <si>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</si>
  <si>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</si>
  <si>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</si>
  <si>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</si>
  <si>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</si>
  <si>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</si>
  <si>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</si>
  <si>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</si>
  <si>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</si>
  <si>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</si>
  <si>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</si>
  <si>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</si>
  <si>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</si>
  <si>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</si>
  <si>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</si>
  <si>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</si>
  <si>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</si>
  <si>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</si>
  <si>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</si>
  <si>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</si>
  <si>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</si>
  <si>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</si>
  <si>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</si>
  <si>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</si>
  <si>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</si>
  <si>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</si>
  <si>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</si>
  <si>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</si>
  <si>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</si>
  <si>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</si>
  <si>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</si>
  <si>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</si>
  <si>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</si>
  <si>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</si>
  <si>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</si>
  <si>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</si>
  <si>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</si>
  <si>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</si>
  <si>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</si>
  <si>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</si>
  <si>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</si>
  <si>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</si>
  <si>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</si>
  <si>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</si>
  <si>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</si>
  <si>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</si>
  <si>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</si>
  <si>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</si>
  <si>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</si>
  <si>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</si>
  <si>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</si>
  <si>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</si>
  <si>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</si>
  <si>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</si>
  <si>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</si>
  <si>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</si>
  <si>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</si>
  <si>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</si>
  <si>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</si>
  <si>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</si>
  <si>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</si>
  <si>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</si>
  <si>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</si>
  <si>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</si>
  <si>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</si>
  <si>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</si>
  <si>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</si>
  <si>
    <t>הכנסות מהשכרת נכסים:</t>
  </si>
  <si>
    <t xml:space="preserve">אם העיסוק העיקרי של החברה איננו נדל״ן להשקעה - מדובר ב״הכנסות אחרות״ (הכנסות שאינן עיקריות ואינן מימון). </t>
  </si>
  <si>
    <t>רווח ממכירת ציוד:</t>
  </si>
  <si>
    <t>מדובר במכירה של רכוש קבוע, שהרווח הנובע ממנה, כמו גם העסקה עצמה, היא בגדר אירוע חריג, שהשפעתו החיובית</t>
  </si>
  <si>
    <t xml:space="preserve">ברווח והפסד מהווה גם היא ״הכנסה אחרת״. </t>
  </si>
  <si>
    <t xml:space="preserve">ירידת ערך נדל״ן להשקעה: </t>
  </si>
  <si>
    <t xml:space="preserve">אם העיסוק העיקרי של החברה איננו נדל״ן להשקעה - מדובר ב״הוצאות אחרות״. </t>
  </si>
  <si>
    <t>מדובר בנדל״ן שמנותק מפעילות החברה ופשוט מושכר כדי להניב הכנסה פאסיבית.</t>
  </si>
  <si>
    <t>דיבידנד שהוכרז:</t>
  </si>
  <si>
    <t xml:space="preserve">לעולם איננו חלק מדוח רווח והפסד. </t>
  </si>
  <si>
    <t>הרווח וההפסד מראה את תוצאות הפעילות, ולא האם חולקו לבעלים.</t>
  </si>
  <si>
    <t>במלים אחרות, לטובת עריכת דוח רווח והפסד מידע בדבר דיבידנד שהוכרז הוא נתון סרק.</t>
  </si>
  <si>
    <t xml:space="preserve">יחד עם זאת, וכפי שהצגנו, הדיבידנד שהוכרז בהחלט מהווה חלק מהדוח על ייעוד הרווחים. </t>
  </si>
  <si>
    <t>יתרת רווח שלא יועדה ל-1.1:</t>
  </si>
  <si>
    <t>לעולם איננה דוח רווח והפסד.</t>
  </si>
  <si>
    <t xml:space="preserve">כל התכלית של ערך זה היא להוות את הבסיס לחישוב יתרת העודפים לתום התקופה (דרך דוח ייעוד הרווחים). </t>
  </si>
  <si>
    <t>״מה זה אומר שעלות המכירות מוצגת לפי שיטת מלאי תקופתי״:</t>
  </si>
  <si>
    <t xml:space="preserve">נלמד בהמשך. כרגע, זה רק אומר שאופן החישוב של עלות המכר חופף לגמרי לאופן המוגדר לעיל. </t>
  </si>
  <si>
    <t>הגדרות נוספות וטיפים מהדוקטור - הדוח על המצב הכספי:</t>
  </si>
  <si>
    <t>השקעות המוחזקות למסחר:</t>
  </si>
  <si>
    <t>השקעות בני״ע, חלק מהנכסים השוטפים.</t>
  </si>
  <si>
    <t>נדל״ן להשקעה - שווי הוגן:</t>
  </si>
  <si>
    <t xml:space="preserve">לא להלחץ מהמילה שווי הוגן. נדל״ן להשקעה הוא סוג של נכס לא שוטף. </t>
  </si>
  <si>
    <t>הוצאות מראש:</t>
  </si>
  <si>
    <t>נכס שוטף שנכנס לתוך הסעיף של ״חייבים״. מה זה משקף? סכומים כספיים שהחברה שילמה מראש, וטרם צרכה.</t>
  </si>
  <si>
    <t xml:space="preserve">לכן, למעשה חייבים לה שירות בגין סכומים אלו, וזה נכס שוטף. </t>
  </si>
  <si>
    <t>פקדונות לזמן ארוך:</t>
  </si>
  <si>
    <t xml:space="preserve">נכס לא שוטף. </t>
  </si>
  <si>
    <t>קרקע - עלות:</t>
  </si>
  <si>
    <t xml:space="preserve">לא להבהל מהמילה עלות. אלא אם נאמר אחרת, קרקעות הם חלק מהרכוש הקבוע בחברה (סעיף שכלול בנכסים הלא שוטפים). </t>
  </si>
  <si>
    <t>התחייבות בשל הטבות לעובדים בעת פרישה:</t>
  </si>
  <si>
    <t>סעיף העומד בפני עצמו במסגרת ההתחייבויות הלא שוטפות.</t>
  </si>
  <si>
    <t>קרן לשיפוץ מבנה:</t>
  </si>
  <si>
    <t xml:space="preserve">נסביר יותר בהמשך. בינתיים - מסווג להון העצמי (סכום הון שיועד למטה ספציפית). </t>
  </si>
  <si>
    <t>שיקים לקבל:</t>
  </si>
  <si>
    <t>מדובר בשיקים דחוים (המחאות דחויות) שהחברה קיבלה. הן מייצגות חוב כלפיה, חלק מנכס הלקוחות.</t>
  </si>
  <si>
    <t>הוצאות לשלם:</t>
  </si>
  <si>
    <t>התחייבות שוטפת בגין שירותים שנצרכו ותמורתם טרם שולמה. חלק מסעיף הזכאים.</t>
  </si>
  <si>
    <t>נכסים בלתי מוחשיים, נטו:</t>
  </si>
  <si>
    <t>הון מניות נפרע:</t>
  </si>
  <si>
    <t xml:space="preserve">לא להלחץ מהמילה נפרע. זה הון מניות והוא חלק מההון. </t>
  </si>
  <si>
    <t>קרן הון - פרמיה על מניות:</t>
  </si>
  <si>
    <t xml:space="preserve">לא להלחץ מהמונחים הנוספים. מדובר בפרמיה (חלק מהשקעת בעלים, בהון העצמי). </t>
  </si>
  <si>
    <t>מפגש 2 - לקוחות ומלאי</t>
  </si>
  <si>
    <t>במפגש הזה אנחנו מתמקדים ספציפית בשני נכסים שוטפים (כאלו שפרק הזמן למימושם, קצר - עד שנה): לקוחות ומלאי.</t>
  </si>
  <si>
    <t>החוב הכולל של לקוחות החברה כלפיה</t>
  </si>
  <si>
    <t>יתרת השיקים לגבייה (המחאות לגבייה) היא 100,000 ש״ח.</t>
  </si>
  <si>
    <t xml:space="preserve">״לקוחות״ = חוב פתוח כלפי החברה. </t>
  </si>
  <si>
    <t xml:space="preserve">״שיקים לגבייה״ = חוב פתוח כלפי החברה, שניתן כנגדו שיק דחוי. </t>
  </si>
  <si>
    <t>מכל הבחינות המהותיות, שני ערכים אלו</t>
  </si>
  <si>
    <t>יחד הם החוב הכוללני של לקוחות</t>
  </si>
  <si>
    <t>החברה כלפיה.</t>
  </si>
  <si>
    <t xml:space="preserve">א. ערכו רישומים מלאים בזהות החשבונאית - של כלל האירועים שהתרחשו ב-2022 (נכסים = התחייבויות + הון עצמי). </t>
  </si>
  <si>
    <t>יתרת פתיחה 1.1.2022 = 31.12.201</t>
  </si>
  <si>
    <t>רישום בזהות חשבונאית (א)</t>
  </si>
  <si>
    <t>ג. הציגו ביאור לקוחות נטו, כולל לקוחות ברוטו, שיקים לגבייה והלח״מ ליום 31.12.2022.</t>
  </si>
  <si>
    <t>ביאור לקוחות, נטו: (ג)</t>
  </si>
  <si>
    <t>מענה לנדרש (ב):</t>
  </si>
  <si>
    <t>שאלה בנושא לקוחות - חילוץ ערכים על בסיס יתרות קיימות (ללא טבלת זהות וחישוב מלא של הערכים)</t>
  </si>
  <si>
    <t>ירין את ירין בע״מ היא חברה ציבורית הפועלת בתחום חימום הנקניק. להלן נתונים לגבי ערכים כספיים מרכזיים בחברה לשנים שונות:</t>
  </si>
  <si>
    <t>מכירות (נטו)</t>
  </si>
  <si>
    <t>הלח״מ</t>
  </si>
  <si>
    <t xml:space="preserve">במהלך שנת 2025, נוצרו (אך טרם נרשמו) חובות אבודים בסכום של 9,000 ש״ח. </t>
  </si>
  <si>
    <t xml:space="preserve">כמו כן, החברה טרם רשמה הוצאות בגין הפרשה לחובות מסופקים בשנת 2025. </t>
  </si>
  <si>
    <t>א. מה תהיה יתרת ההלח״מ ליום 31.12.2025 אם ידוע ששיעור הלח״מ בחברה הוא 7%?</t>
  </si>
  <si>
    <t>ב. מה תהיה ההוצאה לחובות מסופקים בחברה בשנת 2025?</t>
  </si>
  <si>
    <t>כאשר דנים במצב שבו יתרת הלקוחות לתחילת השנה ולסופה ידועה, אין צורך לבנות טבלה שלמה ולחשב את השינויים בלקוחות... זה מיותר.</t>
  </si>
  <si>
    <t>בשאלה הקודמת לא ידענו מה יתרת הלקוחות והשיקים לגבייה לתום השנה, לכן נאלצנו להתחשב בשינויים במהלך השנה כדי להגיע אליה.</t>
  </si>
  <si>
    <t xml:space="preserve">כאן, עשו בשבילי את העבודה. </t>
  </si>
  <si>
    <t xml:space="preserve">בהתאם, אוכל לנתח ספציפית את ההלח״מ בלבד (אין לי צורך בניתוח הלקוחות ברוטו, שסכומם ידוע לכל המועדים). </t>
  </si>
  <si>
    <t>יתרת הלח״מ 31.12.2024 (יתרת פתיחה)</t>
  </si>
  <si>
    <t>חובות אבודים שנוצרו השנה (2025)</t>
  </si>
  <si>
    <t>יתרת הלח״מ 31.12.2025 (יתרת סגירה)</t>
  </si>
  <si>
    <t>נתון</t>
  </si>
  <si>
    <t>הוצאות הלח״מ (2025) - מחולץ *בסוף*</t>
  </si>
  <si>
    <t xml:space="preserve">(120,000 - 9,000) * 7% = </t>
  </si>
  <si>
    <t>כדי לחשב את ההלח״מ לתום שנה,</t>
  </si>
  <si>
    <t>אנו זקוקים ליתרת הלקוחות ברוטו</t>
  </si>
  <si>
    <t>התקינה והמעודכנת לתום השנה.</t>
  </si>
  <si>
    <t>השאלה כוללת מידע על יתרת לקוחות</t>
  </si>
  <si>
    <t>בסך 120,000 ש״ח, אך נאמר שטרם</t>
  </si>
  <si>
    <t>נרשם חוב אבוד בסך 9,000 ש״ח.</t>
  </si>
  <si>
    <t>יתרת הלקוחות המעודכנת חייבת לבטא רישום זה,</t>
  </si>
  <si>
    <t>אשר בהגדרה יקטין את יתרת הלקוחות ברוטו</t>
  </si>
  <si>
    <t>בהתאם לגובה החוב האבוד.</t>
  </si>
  <si>
    <t>רק היתרה המעודכנת והתקינה של הלקוחות,</t>
  </si>
  <si>
    <t>לאחר נטרול החוב האבוד, ניתנת להכפלה</t>
  </si>
  <si>
    <t>בשיעור ההלח״מ כדי להגיע ליתרת ההלח״מ</t>
  </si>
  <si>
    <t>העדכנית.</t>
  </si>
  <si>
    <t>תשובה א:</t>
  </si>
  <si>
    <t>תשובה ב:</t>
  </si>
  <si>
    <t>שאלה בנושא לקוחות - מצב שבו קיימים לקוחות שונים ברמות סיכון שונות (״גיול חובות״)</t>
  </si>
  <si>
    <t>עדי היא אחת החברות המובילות במשק בתחום טחינת הפופיקים ועיבודם לצרכי ייצור נקניק. החברה מחשבת את ההפרשה לחובות מסופקים</t>
  </si>
  <si>
    <t>בהתאם למודל המחלק את חובות הלקוחות לסקטורים / מגזרים / קבוצות, כאשר לכל קבוצה משוייך שיעור הלח״מ שונה ודיפרנציאלי המבטא</t>
  </si>
  <si>
    <t xml:space="preserve">את הסיכון המיוחד של הקבוצה. </t>
  </si>
  <si>
    <t>לפניכם נתונים כספיים בחברה ליום 31.12.2025:</t>
  </si>
  <si>
    <t>סך חוב הלקוחות (ברוטו)</t>
  </si>
  <si>
    <t>חוב לקוח שנמחק השנה</t>
  </si>
  <si>
    <t>ד</t>
  </si>
  <si>
    <t>חוב בש״ח</t>
  </si>
  <si>
    <t>לקבוצה</t>
  </si>
  <si>
    <t>רמת סיכון קבוצה</t>
  </si>
  <si>
    <t>חוב כמעט ודאי</t>
  </si>
  <si>
    <t>חוב בסיכון נמוך</t>
  </si>
  <si>
    <t>חוב בסיכון בינוני</t>
  </si>
  <si>
    <t>חוב בסיכון גבוה</t>
  </si>
  <si>
    <t>ה׳ ישמור אותי</t>
  </si>
  <si>
    <t>להלן נתונים לגבי חלוקת החוב הכולל לקבוצות, לצד רמת הסיכון ושיעור ההפרשה הנובע מכך ליום 31.12.2025:</t>
  </si>
  <si>
    <t>בנוסף ידוע שיתרת ההלח״מ ליום 1.1.2025 היא 13,000 ש״ח.</t>
  </si>
  <si>
    <t>א. מהי יתרת ההפרשה לחובות מסופקים ליום 31.12.2025?</t>
  </si>
  <si>
    <t>ב. מהי ההוצאה לחובות מסופקים לשנת 2025?</t>
  </si>
  <si>
    <t>אמנם בטבלה יש המון נתונים והשאלה מה עושים איתם; אבל בתכל׳ס - מעניינות אותנו רק שתי עמודות: עמודת הסה״כ (G) ושיעור ההלח״מ</t>
  </si>
  <si>
    <t>המתאים לכל שורה בה (H).</t>
  </si>
  <si>
    <t>בהתאם יתרת ההלח״מ ליום 31.12.2025:</t>
  </si>
  <si>
    <t>1.5% * 630,000 + 2% * 162,000 + 3% * 178,000 + ... =</t>
  </si>
  <si>
    <t>יתרת הלח״מ 1.1.2025</t>
  </si>
  <si>
    <r>
      <t xml:space="preserve">חובות אבודים שנוצרו השנה (2025) = </t>
    </r>
    <r>
      <rPr>
        <b/>
        <sz val="10"/>
        <color rgb="FFFF0000"/>
        <rFont val="David"/>
      </rPr>
      <t>חובות שנמחקו</t>
    </r>
  </si>
  <si>
    <t>בהתאם לעקרונות חשבונאיים מקובלים, המלאי כנכס, בדוחות החברה לתום השנה, נמדד לפי הנמוך מבין שני ערכים:</t>
  </si>
  <si>
    <t>ב. חשבו את עלות מלאי הסגירה בשיטת הממוצע התקופתי (ממוצע משוקלל בניהול תקופתי)</t>
  </si>
  <si>
    <t>חישוב עלות ממוצעת ליח׳ - עלינו לסכום את עלות מלאי הפתיחה והקניות:</t>
  </si>
  <si>
    <t xml:space="preserve">1,000 + 2,000 + 2,500 + 3,000 + 4,000 = </t>
  </si>
  <si>
    <t>בשונה מעלות המלאי, אשר תלויה במידה רבה בשיטת הניהול (עלות מלאי סגירה ב-FIFO עשויה להיות שונה מהותית מעלות מלאי הסגירה</t>
  </si>
  <si>
    <t>המחושבת בשיטת הממוצע) שווי מימוש נטו הוא אחד ויחיד; הוא נובע מכוחות השוק, לא מאופן הניהול בחברה, והוא לא משתנה כשעוברים</t>
  </si>
  <si>
    <t>משיטת ניהול מלאי אחת לאחרת.</t>
  </si>
  <si>
    <t>א. עלותו - Cost.</t>
  </si>
  <si>
    <t>ב. שווי המימוש נטו שלו - שמ״נ - Value</t>
  </si>
  <si>
    <t>נושא חדש מעולמם של הנכסים הלא שוטפים - רכוש קבוע</t>
  </si>
  <si>
    <t xml:space="preserve">רכוש קבוע הוא נכס שכולל מכונות, ציוד, כלי רכב, מבנים ועוד - שמה שמאפיין אותם הוא שפרק הזמן הצפוי </t>
  </si>
  <si>
    <t xml:space="preserve">לשימוש בהם עולה על שנה, והם מוחשיים (פיזיים). </t>
  </si>
  <si>
    <t>הדרך הבסיסית לקבוע את הערך של פריטי רכוש קבוע בדיווחים מתבססת על תהליך שבו:</t>
  </si>
  <si>
    <t>א. מחשבים את עלות הרכוש הקבוע - העלות כוללת הן את עלות הרכישה והן כל עלות נוספת הנדרשת לשם הכשרת</t>
  </si>
  <si>
    <t>הפריט לשימוש, כגון הובלה, הרכבה וכיו״ב.</t>
  </si>
  <si>
    <t xml:space="preserve">ב. על בסיס טכניקה רלוונטית שמתאימה לפריט, מחשבים את השחיקה התקופתית בערכו - פחת. </t>
  </si>
  <si>
    <t xml:space="preserve">בכל תקופה, יוצג הפריט לפי ההפרש שבין עלותו לבין הפחת שנצבר בגינו. </t>
  </si>
  <si>
    <t>עלות נטו</t>
  </si>
  <si>
    <t>עלות בניכוי גרט / שייר חלקי תקופת</t>
  </si>
  <si>
    <t>הפחתה נתונה, כפול שנים שחלפו עד שינוי האומדן</t>
  </si>
  <si>
    <t>תזכורת:</t>
  </si>
  <si>
    <t>עלות מכונות הנקניק שנמכרו: 3 מכונות</t>
  </si>
  <si>
    <t>בעלות 200,000 למכונה.</t>
  </si>
  <si>
    <t>ערך השייר (גרט) לכל מכונת נקניק - נתון:</t>
  </si>
  <si>
    <t>כ-30,000 ש״ח.</t>
  </si>
  <si>
    <t xml:space="preserve">תקופת ההפחתה: 7 שנים. </t>
  </si>
  <si>
    <t xml:space="preserve">שיטת ההפחתה: סכום ספרות. </t>
  </si>
  <si>
    <t>מועד המכירה: 30.9.2023 (רכישה 1.1.2018)</t>
  </si>
  <si>
    <t>עלות הפריטים שנמכרו</t>
  </si>
  <si>
    <t>בניכוי הגרט / השייר שלהם (החלק שלא מופחת)</t>
  </si>
  <si>
    <t>כדי לחשב פחת נצבר - בשיטת סכום ספרות</t>
  </si>
  <si>
    <t>אכפול ביחס בין הספרות שחלפו</t>
  </si>
  <si>
    <t>מ-2018 עד 30.9.2023 (הואיל ושנת 2023</t>
  </si>
  <si>
    <t>לא חלפה במלואה, לקחנו חלק יחסי ממנה</t>
  </si>
  <si>
    <t>עבור 9 חודשים עד סוף ספטמבר)</t>
  </si>
  <si>
    <t>לבין סכום הספרות שמתקבל ע״י הנוסחה:</t>
  </si>
  <si>
    <t>n * (n + 1)/2 = 7 * 8 /2 = 28</t>
  </si>
  <si>
    <t>רווח הון: כל הפרש חיובי בין תמורת המכירה לעלות המופחתת (עלות בניכוי פחת נצבר) ערב המכירה.</t>
  </si>
  <si>
    <t>המבנה עלה כנתון 500,000, מתוך עלותו 25% מהווים קרקע, שבגינה אין פחת;</t>
  </si>
  <si>
    <t xml:space="preserve">תקופת הפחתתו 50 שנים, וחלפו 7 שנים מ-1.1.2017 (רכישתו) עד 31.12.20203 </t>
  </si>
  <si>
    <t>שזה המועד שבו נמצאים.</t>
  </si>
  <si>
    <t>בהתייחס רק למכונות הנקניק שנשארו (שעלותן 200,000, רבע מתוך</t>
  </si>
  <si>
    <t>ה-800,000 כי מדובר במכונה אחת מתוך 4) בניכוי גרט / שייר למכונה אחת</t>
  </si>
  <si>
    <t>בסך 30,000 כנתון, וכל זה כפול היחס בין הספרות לכל השנים שחלפו</t>
  </si>
  <si>
    <t>לבין סכום הספרות.</t>
  </si>
  <si>
    <t xml:space="preserve">חושב בסעיף ב (כחלק מהוצ׳ פחת מכבש) - הוא משקף פחת לפי הפרמטרים המקוריים להפחתה (לפני השינוי) מ-1.10.2021 עד 1.1.2023. </t>
  </si>
  <si>
    <t>חושב בסעיף ב (פחת עדכני, לפי פרמטרים חדשים, הפחתה על פני 3 שנים וגרט שונה)</t>
  </si>
  <si>
    <t>מפגש 2 חלק ב המשך דיון בנכסים שוטפים ורכוש קבוע</t>
  </si>
  <si>
    <t>חברת ״רחל פ״ בע״מ נטלה ב-1.1.2020 הלוואה בסך 40,000 ש״ח. ההלוואה נפרעת ב-10 תשלומי קרן חצי שנתיים</t>
  </si>
  <si>
    <t xml:space="preserve">שווים, שיבוצעו בתחילת כל חצי שנה (התשלום הראשון ב-1.7.2020, התשלום הבא ב-1.1.2021 וכן הלאה).  </t>
  </si>
  <si>
    <t xml:space="preserve">הריבית השנתית בגין ההלוואה היא 10% והיא משולמת יחד עם כל תשלום קרן. </t>
  </si>
  <si>
    <t>א. מהן הוצאות המימון בשנת 2023?</t>
  </si>
  <si>
    <t>ב. מהי יתרת ההתחייבות בגין ההלוואה לתום 2024?</t>
  </si>
  <si>
    <t>מפגש 3 - הדוח על השינויים בהון העצמי ותחילת הדוח על תזרימי המזומנים</t>
  </si>
  <si>
    <t>ראשית - הלוואות כמקור מימון התחייבותי</t>
  </si>
  <si>
    <t>ההסדרים באמצעותם חברה מגייסת משאבים כוללים בין היתר מקורות מימון התחייבותיים - כאלו שהחברה צריכה</t>
  </si>
  <si>
    <t>להחזיר אותם (עם ריבית / בלעדיה). מבין הסדרי המימון הנפוצים מול גופים פיננסיים ושוק ההון - בולטים שניים:</t>
  </si>
  <si>
    <t>ב. אגרות חוב - מכשיר שעובד בצורה מאד דומה להלוואה ברמה העקרונית, אבל אופן הנפקתו / ניהולו מעט שונה.</t>
  </si>
  <si>
    <r>
      <t xml:space="preserve">א. </t>
    </r>
    <r>
      <rPr>
        <b/>
        <sz val="12"/>
        <color rgb="FF000000"/>
        <rFont val="David"/>
      </rPr>
      <t>הלוואות</t>
    </r>
    <r>
      <rPr>
        <sz val="12"/>
        <color rgb="FF000000"/>
        <rFont val="David"/>
      </rPr>
      <t xml:space="preserve"> - בהן נתמקד. </t>
    </r>
  </si>
  <si>
    <t>שאלה 1 - דיון בהלוואה ומדידתה החשבונאית - כולל השפעות של תשלומי תחילת תקופה</t>
  </si>
  <si>
    <t>ניתן בהחלט לבצע חישובים מתמטיים רלוונטיים כדי להגיע להוצאות ויתרת ההתחייבות לבנק בגין ההלוואה</t>
  </si>
  <si>
    <t>לכל מועד. אבל כדי לבצע הצגה מקוצרת שיותר קל לעקוב אחריה - כדאי לעבוד בגישה של ״תנועה״ או ״מעגל״</t>
  </si>
  <si>
    <t xml:space="preserve">הלוואות. ניתוח התנועה מתחיל עקרונית במועד נטילת ההלוואה בהתאם לסכומה, והוא מציג באופן רציף </t>
  </si>
  <si>
    <t xml:space="preserve">את ההשפעות השונות על ההלוואה. </t>
  </si>
  <si>
    <t>יתרה</t>
  </si>
  <si>
    <t>שולם</t>
  </si>
  <si>
    <t xml:space="preserve">40,000 / 10 + 40,000 * 5% = </t>
  </si>
  <si>
    <t xml:space="preserve">40,000 * 9/10 * (1 + 5%) = </t>
  </si>
  <si>
    <t xml:space="preserve">40,000/10 + 40,000 * 9/10 * 5% = </t>
  </si>
  <si>
    <t xml:space="preserve">40,000/10 + 40,000 * 8/10 * 5% = </t>
  </si>
  <si>
    <t xml:space="preserve">40,000 * 7/10 * (1 + 5%) = </t>
  </si>
  <si>
    <t xml:space="preserve">40,000/10 + 40,000 * 7/10 * 5% = </t>
  </si>
  <si>
    <t xml:space="preserve">40,000/10 + 40,000 * 6/10 * 5% = </t>
  </si>
  <si>
    <t xml:space="preserve">40,000 * 5/10 * (1 + 5%) = </t>
  </si>
  <si>
    <t xml:space="preserve">40,000/10 + 40,000 * 5/10 * 5% = </t>
  </si>
  <si>
    <t xml:space="preserve">40,000/10 + 40,000 * 4/10 * 5% = </t>
  </si>
  <si>
    <t xml:space="preserve">40,000 * 3/10 * (1 + 5%) = </t>
  </si>
  <si>
    <t xml:space="preserve">בהתאם: הוצאות מימון ב-2023 הן 1,400; יתרה לתום 2023 היא 12,600. </t>
  </si>
  <si>
    <t>חברת הדוקטור העצל בע״מ נטלה ב-1.1.2020 הלוואה בסך 500,000 ש״ח הנושאת ריבית שנתית בשיעור 8% המשולמת</t>
  </si>
  <si>
    <t xml:space="preserve">כל חצי שנה. תשלום הריבית מבוצע ב-1.7 וב-1.1 של כל שנה, החל מיום 1.7.2020. </t>
  </si>
  <si>
    <t xml:space="preserve">קרן ההלוואה תתחיל להפרע ב-1.7.2022 ב-10 תשלומים חצי שנתיים שווים. </t>
  </si>
  <si>
    <t xml:space="preserve">ההלוואה צמודה לשער הדולר. </t>
  </si>
  <si>
    <t>שער הדולר במועד נטילת ההלוואה הוא 3.5 ש״ח לדולר, שער הדולר ב-1.7.2020 הוא 3.6 ש״ח לדולר ואילו</t>
  </si>
  <si>
    <t>שער הדולר ב-31.12.2020 הוא 3.72 ש״ח לדולר.</t>
  </si>
  <si>
    <t>בנתונים אלו:</t>
  </si>
  <si>
    <t xml:space="preserve"> מהן סך הוצאות המימון בגין ההלוואה בדוח רווח והפסד לשנת 2020?</t>
  </si>
  <si>
    <t>מהי יתרת ההתחייבות הכוללת בגין ההלוואה (סיכום ההתחייבויות מכל הסוגים בגין ההלוואה)</t>
  </si>
  <si>
    <t>ליום 31.12.2020?</t>
  </si>
  <si>
    <t>שאלה 2 - דיון בהלוואה ומדידתה החשבונאית - כולל השפעות של תשלומי תחילת תקופה והצמדה לדולר</t>
  </si>
  <si>
    <t>תשלום</t>
  </si>
  <si>
    <t>הוצ׳ מימון</t>
  </si>
  <si>
    <r>
      <t xml:space="preserve">(500,000 / 10 + 500,000 * 4%) *  </t>
    </r>
    <r>
      <rPr>
        <sz val="12"/>
        <color rgb="FFFF0000"/>
        <rFont val="David"/>
      </rPr>
      <t>(3.6/3.5)</t>
    </r>
    <r>
      <rPr>
        <sz val="12"/>
        <color rgb="FF000000"/>
        <rFont val="David"/>
      </rPr>
      <t xml:space="preserve"> =</t>
    </r>
  </si>
  <si>
    <r>
      <t xml:space="preserve">500,000 * 9/10 * (1 + 4%) * </t>
    </r>
    <r>
      <rPr>
        <sz val="12"/>
        <color rgb="FFFF0000"/>
        <rFont val="David"/>
      </rPr>
      <t>(3.72/3.5)</t>
    </r>
    <r>
      <rPr>
        <sz val="12"/>
        <color rgb="FF000000"/>
        <rFont val="David"/>
      </rPr>
      <t xml:space="preserve"> = </t>
    </r>
  </si>
  <si>
    <t>פירוט:</t>
  </si>
  <si>
    <t>שאלה 3 - הלוואות - חישובים פיננסיים (עצמי / לבית להבנה יותר הדרגתית)</t>
  </si>
  <si>
    <t>נושא חדש ומרכזי יותר למפגש 3 - הון עצמי</t>
  </si>
  <si>
    <t>להלן סעיפי ההון העצמי בחברת ״נקניקי העיר״ ליום 31.12.2023:</t>
  </si>
  <si>
    <t>רשום (ש״ח)</t>
  </si>
  <si>
    <t>מונפק (ש״ח)</t>
  </si>
  <si>
    <t>הון מניות רגילות בנות 1 ש״ח ע״נ</t>
  </si>
  <si>
    <t>הון מניות רגילות בנות 6 ש״ח ע״נ</t>
  </si>
  <si>
    <t>הון מניות בכורה צוברות 10% בנות 1 ש״ח ע״נ</t>
  </si>
  <si>
    <t>פרמיה על מניות רגילות</t>
  </si>
  <si>
    <t>קרן לשיפוץ נקניק</t>
  </si>
  <si>
    <t>חברת ״נקניקי העיר״ - הדוח על השינויים בהון העצמי לשנה שנסתיימה ב-31.12.2024:</t>
  </si>
  <si>
    <t>בכורה</t>
  </si>
  <si>
    <t>בנות 6 ש״ח</t>
  </si>
  <si>
    <t>צוברות</t>
  </si>
  <si>
    <t xml:space="preserve">פרמיה על </t>
  </si>
  <si>
    <t>קרן לשיפוץ</t>
  </si>
  <si>
    <t>כתבי</t>
  </si>
  <si>
    <t xml:space="preserve">א. כל מניות הבכורה הונפקו ב-1.1.2018. </t>
  </si>
  <si>
    <t>כל האירועים הללו הם היסטוריים</t>
  </si>
  <si>
    <t>אירוע</t>
  </si>
  <si>
    <t>ערך נקוב</t>
  </si>
  <si>
    <t>מניות רגילות</t>
  </si>
  <si>
    <t>אופציה</t>
  </si>
  <si>
    <t xml:space="preserve">ב. דיבידנדים לבעלי המניות חולקו עד וכולל שנת 2019. </t>
  </si>
  <si>
    <t>לכן כבר מגולמים (נכללים) בנתונים הקיימים</t>
  </si>
  <si>
    <t xml:space="preserve">ג. החברה לא חילקה דיבידנדים בשנים 2020-2023. </t>
  </si>
  <si>
    <t>ד. ב-1.1.2024 הונפקו 200,000 מניות רגילות בנות 1 ש״ח ערך נקוב כל אחת בתמורה ל-5 ש״ח למניה, כאשר עלויות</t>
  </si>
  <si>
    <t>ה</t>
  </si>
  <si>
    <t xml:space="preserve">ההנפקה הסתכמו ב-15% מתמורת ההנפקה. </t>
  </si>
  <si>
    <t>ו.1</t>
  </si>
  <si>
    <t>פיצוי/הטבה</t>
  </si>
  <si>
    <t>ה. ב-15.1.2024 הונפקו מניות הטבה בשיעור 30% לכל בעלי המניות הרגילות מתוך קרן ההון - פרמיה על מניות.</t>
  </si>
  <si>
    <t>ו.2</t>
  </si>
  <si>
    <t>ו. ב-1.2.2024 בוצע פיצול מניות כך שכל המחזיק במניה רגילה בת 6 ש״ח ערך נקוב קיבל במקומה 6 מניות רגילות</t>
  </si>
  <si>
    <t>ז</t>
  </si>
  <si>
    <t>הנפקת אופ׳</t>
  </si>
  <si>
    <t>בנות 1 ש״ח ערך נקוב. כפיצוי, ניתנו לבעלי מניות הרגילות בנות 1 ש״ח ע״נ ערב הפיצול מניות הטבה בשיעור 20%</t>
  </si>
  <si>
    <t>ח</t>
  </si>
  <si>
    <t>מימוש אופ׳</t>
  </si>
  <si>
    <t xml:space="preserve">מקרן ההון - פרמיה על מניות רגילות. </t>
  </si>
  <si>
    <t>ט</t>
  </si>
  <si>
    <t>פקיעת אופ׳</t>
  </si>
  <si>
    <t>ז. ב-1.3.2024 החברה הנפיקה 100,000 כתבי אופציה בתמורת 1.5 ש״ח לכתב אופציה. כל כתב אופציה ניתן למימוש</t>
  </si>
  <si>
    <t>י</t>
  </si>
  <si>
    <t>למניה רגילה אחת בת 1 ש״ח ערך נקוב לפי יחס של 1 ל-4 (כלומר כל 4 כתבי אופציה ימומשו למניה רגילה אחת</t>
  </si>
  <si>
    <t>י״א</t>
  </si>
  <si>
    <t xml:space="preserve">בת 1 ש״ח ערך נקוב) עד ליום 31.12.2024. תוספת המימוש היא 2 ש״ח לכתב אופציה. </t>
  </si>
  <si>
    <t>י״ב</t>
  </si>
  <si>
    <t>העברה מקרן</t>
  </si>
  <si>
    <t xml:space="preserve">ח. ב-15.8.2024 מומשו 80,000 כתבי אופציה. </t>
  </si>
  <si>
    <t xml:space="preserve">ט. יתר כתבי האופציה שלא מומשו ב-15.8.2024, פקעו. </t>
  </si>
  <si>
    <t>י. הרווח הנקי בחברה בשנת 2024 הסתכם ב-1,500,000 ש״ח.</t>
  </si>
  <si>
    <t>ביאור - דיבידנד:</t>
  </si>
  <si>
    <t xml:space="preserve">י״א. ב-31.12.2024 חילקה החברה דיבידנד בשיעור 10% לבעלי המניות הרגילות (לאחר הקצאה מתאימה לבכורה). </t>
  </si>
  <si>
    <t>כאשר מדובר בחלוקת / הקצאת דיבידנד בחברה שיש בה גם מניות רגילות, וגם מניות בכורה, צריך לדאוג</t>
  </si>
  <si>
    <t xml:space="preserve">י״ב. ב-31.12.2024 הועברו מקרן שיפוץ הנקניק 45,000 ש״ח ליתרת הרווח. </t>
  </si>
  <si>
    <t>לייצר נייר עבודה מסודר שיתחשב בסדר ההקצאה לבעלי המניות השונים.</t>
  </si>
  <si>
    <t>כאשר יש מניות רגילות ומב״כ צוברות, וסכום הדיבידנד הכולל לא נתון</t>
  </si>
  <si>
    <t xml:space="preserve">נדרש: ערכו את הדוח על השינויים בהון העצמי לשנת 2024. </t>
  </si>
  <si>
    <t>שלב</t>
  </si>
  <si>
    <t>מב״כ צוברות</t>
  </si>
  <si>
    <t>דיב׳ בפיגור לבכורה צוברות</t>
  </si>
  <si>
    <t>דיב׳ לבכורה - שוטף</t>
  </si>
  <si>
    <t>חלוקה לרגילות</t>
  </si>
  <si>
    <t>הסברים חופרים ומפורטים לכל הסעיפים למעט הדיבידנד:</t>
  </si>
  <si>
    <t xml:space="preserve">בתור התחלה העתקנו את כל נתוני ״יתרות הפתיחה״ של סעיפי ההון העצמי, תוך התעלמות מההון הרשום. </t>
  </si>
  <si>
    <t>**</t>
  </si>
  <si>
    <t>בשלב ראשון, התעלמנו מכל האירועים ההיסטוריים של השנים הקודמות, שהרי ערכיהם כבר מגולמים ביתרות הפתיחה הנתונות.</t>
  </si>
  <si>
    <t>הואיל וזיהיתי מניות בכורה צוברות, עליי לגלות תחילה מהי זכות הצבירה שלהן;</t>
  </si>
  <si>
    <t>כאשר מבוצעת הנפקת מניות, התהליך לטיפול הוא כדלקמן:</t>
  </si>
  <si>
    <t xml:space="preserve">כלומר בגין כמה שנים הן לא קיבלו דיבידנד. </t>
  </si>
  <si>
    <t>מכפלת מספר המניות שהונפקו בערך הנקוב למניה &gt;&gt;&gt; משוייכת להון המניות</t>
  </si>
  <si>
    <t xml:space="preserve">בנתוני השאלה, מניות הבכוררה הצוברות הונפקו ב-1.1.2018. </t>
  </si>
  <si>
    <t>תמורת ההנפקה נטו (לאחר ניכוי כל עלות הנפקה קשורה) &gt;&gt;&gt; נרשמת ב״סה״כ״</t>
  </si>
  <si>
    <t xml:space="preserve">בנוסף נרשם, שכל הדיבידנדים הנדרשים חולקו עד וכולל סוף 2019. </t>
  </si>
  <si>
    <t xml:space="preserve">ההפרש בין תמורת ההנפקה נטו (סה״כ) לבין הון המניות שהונפק, נזקף לפרמיה. </t>
  </si>
  <si>
    <t>מה שכן, לא חולקו דיבידנדים ב-2020, 2021, 2022, 2023.</t>
  </si>
  <si>
    <t>כאשר מבוצעת הנפקת מניות הטבה, תהליך הטיפול הוא כדלקמן:</t>
  </si>
  <si>
    <t>המשמעות: בגין 4 שנים אלו קיימת למניות הבכורה זכות צבירה.</t>
  </si>
  <si>
    <t>כופלים את הון המניות הזכאיות להטבה בשיעור ההטבה באחוזים. סכום זה יירשם כעלייה בהון המניות.</t>
  </si>
  <si>
    <t>איך מחשבים אותה?</t>
  </si>
  <si>
    <t>סך השינוי בהון העצמי תמיד יהיה 0 (כי זו הנפקה ללא תמורה).</t>
  </si>
  <si>
    <t xml:space="preserve">50,000 * 10% * 4 = </t>
  </si>
  <si>
    <t xml:space="preserve">ההפרש בין השינוי בהון (0) לבין סך הון המניות שהונפק, נזקף כערך שלילי פרמיה (או לעודפים אם ציינו מפורשות). </t>
  </si>
  <si>
    <t>כפלנו את הערך הנקוב של מניות הבכורה (עמודת הון מניות בכורה בטבלה)</t>
  </si>
  <si>
    <t>פיצוי:</t>
  </si>
  <si>
    <t xml:space="preserve">כאשר מזהים אירוע של פיצול מניות, שמזכה בפיצוי בעלי מניות קיימים, הפיצוי תמיד יטופל לפני הפיצול. </t>
  </si>
  <si>
    <t xml:space="preserve">בשיעור זכאותן לדיבידנד ובמספר שנות הצבירה. </t>
  </si>
  <si>
    <t xml:space="preserve">הפיצוי בצורה של מניות הטבה מטופל כמו כל הנפקה אחרת של מניות הטבה (כמו אירוע ה). </t>
  </si>
  <si>
    <t xml:space="preserve">המשמעות: סוכמים את כל הון המניות הזכאיות להטבה (באירוע זה - רק מניות בנות 1 ש״ח ערך נקוב), </t>
  </si>
  <si>
    <t>כל מניות הבכורה (גם אם כתוב שהן צוברות, וגם אם לא) זכאיות לדיבידנד</t>
  </si>
  <si>
    <t>כופלים באחוז הפיצוי / ההטבה, ומגדילים בכך את הון המניות. בנוסף, מקטינים את הפרמיה בסכום זהה (או</t>
  </si>
  <si>
    <t>בגין השנה השוטפת:</t>
  </si>
  <si>
    <t xml:space="preserve">את העודפים, אם נדרשנו מפורשות) וסך השינוי בהון העצמי 0. </t>
  </si>
  <si>
    <t xml:space="preserve">50,000 * 10% = </t>
  </si>
  <si>
    <t>פיצול:</t>
  </si>
  <si>
    <t>לאחר הפיצוי, כל שעלינו לעשות הוא להקטין / לאפס את הון המניות המתפצלות (״הגדולות״ - 6 ש״ח ערך נקוב)</t>
  </si>
  <si>
    <t>ולהגדיל בסכום זהה את הון המניות שמתקבל (״הקטנות״ - 1 ש״ח ערך נקוב) בסכום זהה.</t>
  </si>
  <si>
    <t>החלוקה לבעלי המניות הרגילות (הנחותות) יכולה להתבצע רק לאחר שני</t>
  </si>
  <si>
    <t xml:space="preserve">סך ההון העצמי ללא שינוי. </t>
  </si>
  <si>
    <t>השלבים הקודמים, על ידי מכפלה של ערכן הנקוב הכולל לאותה נקודת זמן</t>
  </si>
  <si>
    <t>הנפקת אופ׳:</t>
  </si>
  <si>
    <t>במועד הנפקתם של כתבי אופציה, כל מה שצריך לתעד זה עלייה בסעיף כתבי אופציה ובסך ההון העצמי,</t>
  </si>
  <si>
    <t>קרי הערך הסיכומי של עמודת הון המניות הרגילות, בשיעור ההקצאה להן</t>
  </si>
  <si>
    <t xml:space="preserve">בגובה תמורת הנפקתם של כתבי האופציה (מספר כתבי האופציה שהונפקו כפול התמורה לכל כתב אופציה). </t>
  </si>
  <si>
    <t>שבשאלה (סעיף י״א) נתון כ-10%:</t>
  </si>
  <si>
    <t>מימוש אופ׳:</t>
  </si>
  <si>
    <t xml:space="preserve">1,580,000 * 10% = </t>
  </si>
  <si>
    <t>כתבי אופ׳</t>
  </si>
  <si>
    <t>סך ההון</t>
  </si>
  <si>
    <t>שלב 2</t>
  </si>
  <si>
    <t>שלב 1</t>
  </si>
  <si>
    <t>מס׳ כתבי האופציה שמומשו</t>
  </si>
  <si>
    <t>מס׳ כתבי אופציה שמומשו</t>
  </si>
  <si>
    <t>כפול ״יחס המימוש״</t>
  </si>
  <si>
    <t xml:space="preserve">כפול ״תוספת מימוש״ </t>
  </si>
  <si>
    <t>כפול ערך נקוב למניה</t>
  </si>
  <si>
    <t>לכתב אופציה</t>
  </si>
  <si>
    <t>80,000 * 1/4 * 1</t>
  </si>
  <si>
    <t>80,000 * 2</t>
  </si>
  <si>
    <t>שלב 3</t>
  </si>
  <si>
    <t>בסימן שלילי:</t>
  </si>
  <si>
    <t xml:space="preserve">כפול התמורה שנתקבלה בעד </t>
  </si>
  <si>
    <t>ההנפקה של כל כתב אופציה</t>
  </si>
  <si>
    <r>
      <rPr>
        <sz val="12"/>
        <color theme="0"/>
        <rFont val="David"/>
      </rPr>
      <t>,</t>
    </r>
    <r>
      <rPr>
        <sz val="12"/>
        <color theme="1"/>
        <rFont val="David"/>
      </rPr>
      <t>-80,000 * 1.5</t>
    </r>
  </si>
  <si>
    <t>שלב 4</t>
  </si>
  <si>
    <t>מחלצים את הפרמיה</t>
  </si>
  <si>
    <t>כמספר ״מאזן״ PN</t>
  </si>
  <si>
    <t>כלומר בונים משוואה:</t>
  </si>
  <si>
    <t>סך השינוי בהון המניות + סך השינוי בפרמיה + סך השינוי בכתבי אופציה = סך השינוי בהון</t>
  </si>
  <si>
    <t>20,000 + X - 120,000 = 160,000</t>
  </si>
  <si>
    <t>X = 260,000</t>
  </si>
  <si>
    <t>פקיעת אופ׳:</t>
  </si>
  <si>
    <t>פקיעת כתבי אופציה משמעה: איפוס כלל הסעיף של כתבי האופציה (בסימן שלילי)</t>
  </si>
  <si>
    <t xml:space="preserve">ורישום סכום זהה בסימן חיובי בפרמיה (כך שסך ההון ללא שינוי). </t>
  </si>
  <si>
    <t xml:space="preserve">רווח נקי נזקף לסעיף יתרת הרווח / העודפים בסימן חיובי וכן לסך ההון. </t>
  </si>
  <si>
    <t xml:space="preserve">אילו היה מדובר בהפסד נקי, הוא היה נזקף לאותם המקומות בסימן שלילי. </t>
  </si>
  <si>
    <t>כל קרן למטרה ייעודית (לשיפוץ נקניק, לשיפוץ מבנה, לרכישת מכונה...) נוצרת כאשר</t>
  </si>
  <si>
    <t>החברה מייעדת חלק מהרווחים שנצברו למטרה ספציפית.</t>
  </si>
  <si>
    <t>הייעוד הזה איננו מחייב והחברה יכולה בכל שלב לייעד סכום נוסף למטרה או לחילופין לבטל</t>
  </si>
  <si>
    <t>את הייעוד או להקטנו.</t>
  </si>
  <si>
    <t>כאן: דנו במצב שבו מקטינים את הסכום המיועד לשיפוץ הנקניק. הפעולה פשוטה:</t>
  </si>
  <si>
    <t>מקטינים את קרן חידוש הנקניק</t>
  </si>
  <si>
    <t>מגדילים את יתרת הרווח / העודפים</t>
  </si>
  <si>
    <t xml:space="preserve">אין שינוי בסך ההון העצמי. </t>
  </si>
  <si>
    <t>שאלה 2 - הון עצמי (נייצר ונבהיר את ההגדרות תוך כדי תנועה)</t>
  </si>
  <si>
    <t>נתעלם מהם בשלב ראשון</t>
  </si>
  <si>
    <t>תזכורת: בסך הכל קיימים 100,000 כתבי אופציה,</t>
  </si>
  <si>
    <t>שהונפקו במקור בתמורה ל-1.5 ש״ח לכתב אופציה</t>
  </si>
  <si>
    <t xml:space="preserve">מימוש לפי יחס של 1 ל-4, </t>
  </si>
  <si>
    <t>תוספת מימוש - 2 ש״ח,</t>
  </si>
  <si>
    <t>כל מניה מונפקת - 1 ש״ח ערך נקוב.</t>
  </si>
  <si>
    <t>מומשו כנתון 80,000 כתבי אופציה.</t>
  </si>
  <si>
    <t>כל מימוש מלווה בתקבול (תוספת מימוש) 2 ש״ח</t>
  </si>
  <si>
    <t>שאלה 2 - הקצאת דיבידנד (נייצר ונבהיר את ההגדרות תוך כדי תנועה)</t>
  </si>
  <si>
    <t>חברת השקטים והיפים בע״מ הוקמה ביום 1.1.2019.</t>
  </si>
  <si>
    <t>להלן נתונים לגבי הרכב הון המניות של החברה ויתרת הרווח שלה ליום 31.12.2024:</t>
  </si>
  <si>
    <t>הון מניות בכורה א - 8% צוברות</t>
  </si>
  <si>
    <t>הון מניות בכורה ב - 15% לא צוברות</t>
  </si>
  <si>
    <t>החברה הנפיקה את המניות הרגילות במועד הקמתה.</t>
  </si>
  <si>
    <t xml:space="preserve">כמו כן, החברה הנפיקה את מניות הבכורה הלא צוברות ב-1.1.2023. </t>
  </si>
  <si>
    <t>את מניות הבכורה הצוברות החברה הנפיקה ב-1.1.2021.</t>
  </si>
  <si>
    <t xml:space="preserve">החברה לא חילקה דיבידנד במזומנים ולא הנפיקה מניות הטבה ממועד הקמתה ועד למועד הדיווח 31.12.2024. </t>
  </si>
  <si>
    <t>ב-31.12.2024 החליטה החברה לחלק דיבידנד בסכום של 800,000 ש״ח במזומן.</t>
  </si>
  <si>
    <t>נדרש: מהו סכום הקצאת הדיבידנד לבעלי המניות השונים?</t>
  </si>
  <si>
    <t>כאשר אני מזהה מצב שבו יש גם מניות בכורה צוברות, גם מניות בכורה שאינן צוברות, ובנוסף - סכום הדיבידנד</t>
  </si>
  <si>
    <t>הכולל נתון, נייר העבודה להקצאה:</t>
  </si>
  <si>
    <t>צוברות:</t>
  </si>
  <si>
    <t>״פשוטות״:</t>
  </si>
  <si>
    <t>רגילות:</t>
  </si>
  <si>
    <t>מבכ״צ</t>
  </si>
  <si>
    <t>מב״כ</t>
  </si>
  <si>
    <t>מ״ר</t>
  </si>
  <si>
    <t>סך החלוקה</t>
  </si>
  <si>
    <t>יתרה לחלוקה</t>
  </si>
  <si>
    <t>סך ההקצאה</t>
  </si>
  <si>
    <t xml:space="preserve">דיב׳ בפיגור </t>
  </si>
  <si>
    <t>דיב׳ מב״כ</t>
  </si>
  <si>
    <t>חלוקה לרגיל</t>
  </si>
  <si>
    <t>שלב 0:</t>
  </si>
  <si>
    <t>שורת עזר (לא חובה לציין אותה) שכוללת את סכום הדיבידנד הכולל שהחברה מחלקת - נתון.</t>
  </si>
  <si>
    <t>שלב 1:</t>
  </si>
  <si>
    <t>עלינו לתת למניות הבכורה הצוברות בלבד דיבידנד בגין שנים קודמות.</t>
  </si>
  <si>
    <t>לשם כך, נחשב את הדיבידנד לצוברות לשנה (לפי ערכן הנקוב כפול האחוז הרלוונטי)</t>
  </si>
  <si>
    <t xml:space="preserve">ונכפול זאת במספר השנים ההיסטוריות בגינן הן לא קיבלו דיבידנד. </t>
  </si>
  <si>
    <t xml:space="preserve">300,000 * 8% * 3 = </t>
  </si>
  <si>
    <t xml:space="preserve">מדוע? נתון שמניות הבכורה הצוברות הונפקו ב-1.1.2021. </t>
  </si>
  <si>
    <t>בנוסף נתון שעד לתום השנה השוטפת הנוכחית (31.12.2024) לא היתה הקצאת דיבידנד</t>
  </si>
  <si>
    <t xml:space="preserve">בכלל. </t>
  </si>
  <si>
    <t>המשמעות היא שמניות בכורה אלו צברו דיבידנד בגין כל השנים ההיסטוריות ממועד</t>
  </si>
  <si>
    <t xml:space="preserve">הנפקתן, הווי אומר: בגין 2021, 2022 ו-2023. </t>
  </si>
  <si>
    <t>שלב 2:</t>
  </si>
  <si>
    <t>שלב זה נקרא ״דיבידנד שוטף למניות בכורה״ ובמסגרתו, תוקצה מנת דיבידנד אחת</t>
  </si>
  <si>
    <t xml:space="preserve">לכל סוגי מניות הבכורה. </t>
  </si>
  <si>
    <t xml:space="preserve">בפשטות: כל סוג מניית בכורה יזכה לדיבידנד המחושב כמכפלת הערך הנקוב בשיעור הזכאות. </t>
  </si>
  <si>
    <t>מניות בכורה צוברות:</t>
  </si>
  <si>
    <t xml:space="preserve">300,000 * 8%  = </t>
  </si>
  <si>
    <t>מניות בכורה לא צוברות:</t>
  </si>
  <si>
    <t xml:space="preserve">50,000 * 15% = </t>
  </si>
  <si>
    <t>שלב 3:</t>
  </si>
  <si>
    <t xml:space="preserve">השלב האחרון להקצאה הוא חלוקת היתרה לאחר שלב 2 לבעלי המניות הרגילות. </t>
  </si>
  <si>
    <t xml:space="preserve">הערה: קיים חריג קטן למצב כזה, שבדרך כלל לא שואלים עליו. כרגע לא נדון בו. </t>
  </si>
  <si>
    <t>עמודה חשובה</t>
  </si>
  <si>
    <t>מפגש 3 - התחייבויות והון, תזרימי מזומנים</t>
  </si>
  <si>
    <t>סיכום פ. שוטפת, השקעה ומימון:</t>
  </si>
  <si>
    <t>שוויון לא מקרי (בקרה)</t>
  </si>
  <si>
    <t>הבהרה נוספת לגבי סוגיה ספציפית של שינויים בהון המניות והפרמיה במצב שבו הונפקו מניות במזומן וגם כהטבה</t>
  </si>
  <si>
    <t>סוגיה</t>
  </si>
  <si>
    <t>לפניכם נתונים לגבי הון המניות והפרמיה למועדים שונים בחברת ״שקד מממ״:</t>
  </si>
  <si>
    <t>31/12/20223</t>
  </si>
  <si>
    <t>נתון נוסף:</t>
  </si>
  <si>
    <t>במהלך שנת 2024 הנפיקה החברה מניות הטבה כנגד הפרמיה, וכן מניות נוספות במזומן, בתמורה הזהה לערכן</t>
  </si>
  <si>
    <t xml:space="preserve">הנקוב. </t>
  </si>
  <si>
    <t>נדרש: מהי השפעת השינויים בהון המניות ובפרמיה על הדוח על תזרימי המזומנים?</t>
  </si>
  <si>
    <t>גיליון עבודה:</t>
  </si>
  <si>
    <t>הואיל והשינויים בסעיפים לא נובעים רק מהנפקת מניות במזומן, אלא גם כתוצאה מהנפקת מניות הטבה (שהנפקתן לא מלווה בזרימת מזומן)</t>
  </si>
  <si>
    <t>עלינו לבצע דריל דאון לשינויים:</t>
  </si>
  <si>
    <t>הנפקה במזומן</t>
  </si>
  <si>
    <t>נתון שכאן ההנפקה במזומן בוצעה בתמורה הזהה לערך נקוב - אין שינוי בפרמיה</t>
  </si>
  <si>
    <t>פ. מימון, סימן +</t>
  </si>
  <si>
    <t xml:space="preserve">הנפקת הטבה = הנפקת מניות ללא תמורה, נקראת ״פעילות שלא במזומן״. </t>
  </si>
  <si>
    <t>עלייה בהון המניות: 2,000
ירידה בפרמיה: (2,000)</t>
  </si>
  <si>
    <t>בדוח על תזרימי המזומנים הסופי להצגה:</t>
  </si>
  <si>
    <t>בקטגוריית ״פעילות מימון״ תרשם שורה נוספת:</t>
  </si>
  <si>
    <t>בנוסף, תחת קטגוריה נוספת שנקראת ״פעילות מהותית שלא במזומן״</t>
  </si>
  <si>
    <t>במהלך השנה החברה הנפיקה מניות הטבה בערך נקוב של 2,000 ש״ח.</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</si>
</sst>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0\)"/>
    <numFmt numFmtId="166" formatCode="0.0%"/>
  </numFmts>
  <fonts count="72">
    <font>
      <sz val="10"/>
      <color rgb="FF000000"/>
      <name val="Arial"/>
    </font>
    <font>
      <b/>
      <sz val="18"/>
      <color theme="1"/>
      <name val="David"/>
    </font>
    <font>
      <sz val="12"/>
      <color theme="1"/>
      <name val="David"/>
    </font>
    <font>
      <sz val="10"/>
      <color rgb="FF000000"/>
      <name val="David"/>
    </font>
    <font>
      <b/>
      <sz val="12"/>
      <color theme="1"/>
      <name val="David"/>
    </font>
    <font>
      <b/>
      <sz val="12"/>
      <color rgb="FF000000"/>
      <name val="David"/>
    </font>
    <font>
      <b/>
      <sz val="12"/>
      <color rgb="FFFF0000"/>
      <name val="David"/>
    </font>
    <font>
      <b/>
      <sz val="14"/>
      <color theme="1"/>
      <name val="David"/>
    </font>
    <font>
      <u/>
      <sz val="12"/>
      <color theme="1"/>
      <name val="David"/>
    </font>
    <font>
      <sz val="10"/>
      <name val="David"/>
    </font>
    <font>
      <b/>
      <u/>
      <sz val="12"/>
      <color theme="1"/>
      <name val="David"/>
    </font>
    <font>
      <b/>
      <sz val="12"/>
      <color rgb="FF0000FF"/>
      <name val="David"/>
    </font>
    <font>
      <sz val="12"/>
      <color rgb="FF0000FF"/>
      <name val="David"/>
    </font>
    <font>
      <sz val="12"/>
      <color rgb="FFFF0000"/>
      <name val="David"/>
    </font>
    <font>
      <sz val="12"/>
      <name val="David"/>
    </font>
    <font>
      <b/>
      <sz val="12"/>
      <name val="David"/>
    </font>
    <font>
      <sz val="10"/>
      <color rgb="FFFFFFFF"/>
      <name val="David"/>
    </font>
    <font>
      <sz val="12"/>
      <color rgb="FF000000"/>
      <name val="David"/>
    </font>
    <font>
      <sz val="12"/>
      <color rgb="FFFFFFFF"/>
      <name val="David"/>
    </font>
    <font>
      <sz val="12"/>
      <color rgb="FF434343"/>
      <name val="David"/>
    </font>
    <font>
      <sz val="12"/>
      <color theme="0"/>
      <name val="David"/>
    </font>
    <font>
      <b/>
      <sz val="22"/>
      <color rgb="FFFF0000"/>
      <name val="David"/>
    </font>
    <font>
      <sz val="16"/>
      <color theme="1"/>
      <name val="David"/>
    </font>
    <font>
      <u/>
      <sz val="10"/>
      <color theme="10"/>
      <name val="Arial"/>
      <family val="2"/>
    </font>
    <font>
      <sz val="8"/>
      <color theme="1"/>
      <name val="David"/>
    </font>
    <font>
      <b/>
      <sz val="11"/>
      <color theme="1"/>
      <name val="David"/>
    </font>
    <font>
      <sz val="11"/>
      <color theme="1"/>
      <name val="David"/>
    </font>
    <font>
      <b/>
      <u/>
      <sz val="12"/>
      <color rgb="FF0000FF"/>
      <name val="David"/>
    </font>
    <font>
      <sz val="10"/>
      <color rgb="FF0000FF"/>
      <name val="David"/>
    </font>
    <font>
      <b/>
      <sz val="12"/>
      <color rgb="FF9900FF"/>
      <name val="David"/>
    </font>
    <font>
      <b/>
      <u/>
      <sz val="12"/>
      <name val="David"/>
    </font>
    <font>
      <b/>
      <sz val="10"/>
      <color theme="1"/>
      <name val="David"/>
    </font>
    <font>
      <b/>
      <sz val="20"/>
      <color rgb="FFFF0000"/>
      <name val="David"/>
    </font>
    <font>
      <sz val="20"/>
      <color rgb="FFFF0000"/>
      <name val="David"/>
    </font>
    <font>
      <sz val="10"/>
      <color rgb="FF000000"/>
      <name val="Arial"/>
      <family val="2"/>
    </font>
    <font>
      <sz val="10"/>
      <color theme="1"/>
      <name val="Arial"/>
      <family val="2"/>
    </font>
    <font>
      <sz val="10"/>
      <color theme="1"/>
      <name val="David"/>
    </font>
    <font>
      <b/>
      <sz val="16"/>
      <color theme="1"/>
      <name val="David"/>
    </font>
    <font>
      <b/>
      <sz val="20"/>
      <color theme="5"/>
      <name val="David"/>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ont>
    <font>
      <b/>
      <sz val="10"/>
      <color rgb="FFFF0000"/>
      <name val="David"/>
    </font>
    <font>
      <b/>
      <u/>
      <sz val="12"/>
      <color rgb="FF000000"/>
      <name val="David"/>
    </font>
    <font>
      <sz val="11"/>
      <color rgb="FF000000"/>
      <name val="Cambria Math"/>
      <family val="1"/>
    </font>
    <font>
      <u/>
      <sz val="12"/>
      <color rgb="FF000000"/>
      <name val="David"/>
    </font>
    <font>
      <u/>
      <sz val="12"/>
      <color rgb="FF00B050"/>
      <name val="David"/>
    </font>
    <font>
      <b/>
      <sz val="10"/>
      <color rgb="FF000000"/>
      <name val="Arial"/>
      <family val="2"/>
    </font>
    <font>
      <sz val="10"/>
      <color theme="2" tint="-0.14999847407452621"/>
      <name val="David"/>
    </font>
    <font>
      <sz val="10"/>
      <color theme="0"/>
      <name val="David"/>
    </font>
    <font>
      <u/>
      <sz val="10"/>
      <color rgb="FF000000"/>
      <name val="David"/>
    </font>
    <font>
      <b/>
      <sz val="10"/>
      <color theme="2" tint="-0.14999847407452621"/>
      <name val="David"/>
    </font>
    <font>
      <sz val="10"/>
      <color rgb="FFFF0000"/>
      <name val="David"/>
    </font>
    <font>
      <b/>
      <sz val="10"/>
      <name val="David"/>
    </font>
    <font>
      <sz val="10"/>
      <color rgb="FF000000"/>
      <name val="Arial"/>
      <family val="2"/>
    </font>
    <font>
      <b/>
      <sz val="18"/>
      <color rgb="FF000000"/>
      <name val="David"/>
    </font>
    <font>
      <sz val="10"/>
      <color rgb="FF000000"/>
      <name val="Tahoma"/>
      <family val="2"/>
    </font>
  </fonts>
  <fills count="26">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rgb="FFD5FC79"/>
        <bgColor indexed="64"/>
      </patternFill>
    </fill>
    <fill>
      <patternFill patternType="solid">
        <fgColor theme="0"/>
        <bgColor indexed="64"/>
      </patternFill>
    </fill>
    <fill>
      <patternFill patternType="solid">
        <fgColor rgb="FF00FA00"/>
        <bgColor indexed="64"/>
      </patternFill>
    </fill>
  </fills>
  <borders count="51">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top style="thin">
        <color auto="1"/>
      </top>
      <bottom style="dashDotDot">
        <color auto="1"/>
      </bottom>
      <diagonal/>
    </border>
  </borders>
  <cellStyleXfs count="4">
    <xf numFmtId="0" fontId="0" fillId="0" borderId="0"/>
    <xf numFmtId="0" fontId="23" fillId="0" borderId="0" applyNumberFormat="0" applyFill="0" applyBorder="0" applyAlignment="0" applyProtection="0"/>
    <xf numFmtId="0" fontId="34" fillId="0" borderId="0"/>
    <xf numFmtId="9" fontId="69" fillId="0" borderId="0" applyFont="0" applyFill="0" applyBorder="0" applyAlignment="0" applyProtection="0"/>
  </cellStyleXfs>
  <cellXfs count="761">
    <xf numFmtId="0" fontId="0" fillId="0" borderId="0" xfId="0"/>
    <xf numFmtId="0" fontId="1" fillId="0" borderId="0" xfId="0" applyFont="1"/>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5" fillId="2" borderId="4" xfId="0" applyFont="1" applyFill="1" applyBorder="1"/>
    <xf numFmtId="0" fontId="5" fillId="2" borderId="5" xfId="0" applyFont="1" applyFill="1" applyBorder="1"/>
    <xf numFmtId="0" fontId="5" fillId="2" borderId="6" xfId="0" applyFont="1" applyFill="1" applyBorder="1"/>
    <xf numFmtId="0" fontId="2" fillId="3" borderId="0" xfId="0" applyFont="1" applyFill="1"/>
    <xf numFmtId="0" fontId="10" fillId="0" borderId="7" xfId="0" applyFont="1" applyBorder="1"/>
    <xf numFmtId="0" fontId="11" fillId="0" borderId="1" xfId="0" applyFont="1" applyBorder="1"/>
    <xf numFmtId="0" fontId="12" fillId="0" borderId="3" xfId="0" applyFont="1" applyBorder="1"/>
    <xf numFmtId="0" fontId="6" fillId="0" borderId="1" xfId="0" applyFont="1" applyBorder="1"/>
    <xf numFmtId="0" fontId="13" fillId="0" borderId="2" xfId="0" applyFont="1" applyBorder="1"/>
    <xf numFmtId="0" fontId="13" fillId="0" borderId="3" xfId="0" applyFont="1" applyBorder="1"/>
    <xf numFmtId="0" fontId="12" fillId="0" borderId="10" xfId="0" applyFont="1" applyBorder="1"/>
    <xf numFmtId="0" fontId="12" fillId="0" borderId="11" xfId="0" applyFont="1" applyBorder="1"/>
    <xf numFmtId="0" fontId="13" fillId="0" borderId="10" xfId="0" applyFont="1" applyBorder="1"/>
    <xf numFmtId="0" fontId="13" fillId="0" borderId="0" xfId="0" applyFont="1"/>
    <xf numFmtId="0" fontId="13" fillId="0" borderId="11" xfId="0" applyFont="1" applyBorder="1"/>
    <xf numFmtId="0" fontId="2" fillId="0" borderId="10" xfId="0" applyFont="1" applyBorder="1"/>
    <xf numFmtId="0" fontId="2" fillId="0" borderId="11" xfId="0" applyFont="1" applyBorder="1"/>
    <xf numFmtId="0" fontId="4" fillId="0" borderId="1" xfId="0" applyFont="1" applyBorder="1"/>
    <xf numFmtId="0" fontId="2" fillId="0" borderId="3" xfId="0" applyFont="1" applyBorder="1"/>
    <xf numFmtId="0" fontId="2" fillId="0" borderId="2" xfId="0" applyFont="1" applyBorder="1"/>
    <xf numFmtId="0" fontId="4" fillId="0" borderId="10" xfId="0" applyFont="1" applyBorder="1"/>
    <xf numFmtId="0" fontId="2" fillId="0" borderId="4" xfId="0" applyFont="1" applyBorder="1"/>
    <xf numFmtId="0" fontId="2" fillId="0" borderId="5" xfId="0" applyFont="1" applyBorder="1"/>
    <xf numFmtId="0" fontId="2" fillId="0" borderId="6" xfId="0" applyFont="1" applyBorder="1"/>
    <xf numFmtId="0" fontId="4" fillId="0" borderId="4" xfId="0" applyFont="1" applyBorder="1"/>
    <xf numFmtId="0" fontId="2" fillId="3" borderId="6" xfId="0" applyFont="1" applyFill="1" applyBorder="1" applyAlignment="1">
      <alignment horizontal="center"/>
    </xf>
    <xf numFmtId="0" fontId="2" fillId="0" borderId="0" xfId="0" applyFont="1" applyAlignment="1">
      <alignment horizontal="center"/>
    </xf>
    <xf numFmtId="0" fontId="4" fillId="0" borderId="4" xfId="0" applyFont="1" applyBorder="1" applyAlignment="1">
      <alignment horizontal="right"/>
    </xf>
    <xf numFmtId="0" fontId="2" fillId="0" borderId="5" xfId="0" applyFont="1" applyBorder="1" applyAlignment="1">
      <alignment horizontal="center"/>
    </xf>
    <xf numFmtId="0" fontId="2" fillId="0" borderId="0" xfId="0" quotePrefix="1" applyFont="1" applyAlignment="1">
      <alignment horizontal="center"/>
    </xf>
    <xf numFmtId="0" fontId="2" fillId="0" borderId="12" xfId="0" quotePrefix="1" applyFont="1" applyBorder="1" applyAlignment="1">
      <alignment horizontal="center"/>
    </xf>
    <xf numFmtId="0" fontId="14" fillId="0" borderId="0" xfId="0" applyFont="1"/>
    <xf numFmtId="0" fontId="15" fillId="0" borderId="0" xfId="0" applyFont="1"/>
    <xf numFmtId="0" fontId="2" fillId="0" borderId="0" xfId="0" applyFont="1" applyAlignment="1">
      <alignment horizontal="left"/>
    </xf>
    <xf numFmtId="0" fontId="14" fillId="0" borderId="0" xfId="0" applyFont="1" applyAlignment="1">
      <alignment horizontal="center"/>
    </xf>
    <xf numFmtId="0" fontId="14" fillId="0" borderId="12" xfId="0" quotePrefix="1" applyFont="1" applyBorder="1" applyAlignment="1">
      <alignment horizontal="center"/>
    </xf>
    <xf numFmtId="0" fontId="2" fillId="3" borderId="0" xfId="0" applyFont="1" applyFill="1" applyAlignment="1">
      <alignment horizontal="center"/>
    </xf>
    <xf numFmtId="0" fontId="2" fillId="2" borderId="0" xfId="0" applyFont="1" applyFill="1" applyAlignment="1">
      <alignment horizontal="center"/>
    </xf>
    <xf numFmtId="0" fontId="2" fillId="2" borderId="0" xfId="0" quotePrefix="1" applyFont="1" applyFill="1" applyAlignment="1">
      <alignment horizontal="center"/>
    </xf>
    <xf numFmtId="0" fontId="2" fillId="0" borderId="0" xfId="0" quotePrefix="1" applyFont="1"/>
    <xf numFmtId="0" fontId="2" fillId="3" borderId="0" xfId="0" quotePrefix="1" applyFont="1" applyFill="1" applyAlignment="1">
      <alignment horizontal="center"/>
    </xf>
    <xf numFmtId="3" fontId="2" fillId="0" borderId="0" xfId="0" applyNumberFormat="1" applyFont="1" applyAlignment="1">
      <alignment horizontal="center"/>
    </xf>
    <xf numFmtId="0" fontId="16" fillId="0" borderId="0" xfId="0" applyFont="1"/>
    <xf numFmtId="0" fontId="17" fillId="0" borderId="0" xfId="0" quotePrefix="1" applyFont="1" applyAlignment="1">
      <alignment horizontal="center"/>
    </xf>
    <xf numFmtId="0" fontId="18" fillId="0" borderId="0" xfId="0" applyFont="1"/>
    <xf numFmtId="0" fontId="17" fillId="2" borderId="0" xfId="0" quotePrefix="1" applyFont="1" applyFill="1" applyAlignment="1">
      <alignment horizontal="center"/>
    </xf>
    <xf numFmtId="0" fontId="2" fillId="0" borderId="5" xfId="0" quotePrefix="1" applyFont="1" applyBorder="1" applyAlignment="1">
      <alignment horizontal="center"/>
    </xf>
    <xf numFmtId="0" fontId="4" fillId="0" borderId="0" xfId="0" quotePrefix="1" applyFont="1" applyAlignment="1">
      <alignment horizontal="center"/>
    </xf>
    <xf numFmtId="0" fontId="2" fillId="0" borderId="11" xfId="0" applyFont="1" applyBorder="1" applyAlignment="1">
      <alignment horizontal="center"/>
    </xf>
    <xf numFmtId="0" fontId="2" fillId="0" borderId="13" xfId="0" quotePrefix="1" applyFont="1" applyBorder="1" applyAlignment="1">
      <alignment horizontal="center"/>
    </xf>
    <xf numFmtId="3" fontId="2" fillId="0" borderId="0" xfId="0" applyNumberFormat="1" applyFont="1"/>
    <xf numFmtId="0" fontId="4" fillId="2" borderId="0" xfId="0" applyFont="1" applyFill="1"/>
    <xf numFmtId="0" fontId="4" fillId="2" borderId="0" xfId="0" quotePrefix="1" applyFont="1" applyFill="1" applyAlignment="1">
      <alignment horizontal="center"/>
    </xf>
    <xf numFmtId="0" fontId="4" fillId="3" borderId="0" xfId="0" applyFont="1" applyFill="1"/>
    <xf numFmtId="3" fontId="13" fillId="0" borderId="0" xfId="0" applyNumberFormat="1" applyFont="1"/>
    <xf numFmtId="0" fontId="17" fillId="0" borderId="0" xfId="0" applyFont="1"/>
    <xf numFmtId="3" fontId="17" fillId="0" borderId="0" xfId="0" applyNumberFormat="1" applyFont="1"/>
    <xf numFmtId="164" fontId="13" fillId="0" borderId="0" xfId="0" applyNumberFormat="1" applyFont="1"/>
    <xf numFmtId="164" fontId="17" fillId="0" borderId="0" xfId="0" applyNumberFormat="1" applyFont="1"/>
    <xf numFmtId="164" fontId="2" fillId="0" borderId="0" xfId="0" applyNumberFormat="1" applyFont="1"/>
    <xf numFmtId="0" fontId="4" fillId="2" borderId="0" xfId="0" applyFont="1" applyFill="1" applyAlignment="1">
      <alignment horizontal="center"/>
    </xf>
    <xf numFmtId="3" fontId="19" fillId="0" borderId="0" xfId="0" applyNumberFormat="1" applyFont="1"/>
    <xf numFmtId="0" fontId="19" fillId="0" borderId="0" xfId="0" applyFont="1"/>
    <xf numFmtId="3" fontId="2" fillId="0" borderId="12" xfId="0" applyNumberFormat="1" applyFont="1" applyBorder="1"/>
    <xf numFmtId="9" fontId="2" fillId="0" borderId="0" xfId="0" applyNumberFormat="1" applyFont="1"/>
    <xf numFmtId="0" fontId="17" fillId="0" borderId="0" xfId="0" applyFont="1" applyAlignment="1">
      <alignment wrapText="1"/>
    </xf>
    <xf numFmtId="0" fontId="13" fillId="0" borderId="0" xfId="0" applyFont="1" applyAlignment="1">
      <alignment wrapText="1"/>
    </xf>
    <xf numFmtId="0" fontId="4" fillId="0" borderId="0" xfId="0" applyFont="1" applyAlignment="1">
      <alignment horizontal="right" readingOrder="2"/>
    </xf>
    <xf numFmtId="0" fontId="2" fillId="0" borderId="0" xfId="0" applyFont="1" applyAlignment="1">
      <alignment horizontal="right" readingOrder="2"/>
    </xf>
    <xf numFmtId="0" fontId="2" fillId="0" borderId="0" xfId="0" applyFont="1" applyAlignment="1">
      <alignment horizontal="right"/>
    </xf>
    <xf numFmtId="0" fontId="10" fillId="0" borderId="0" xfId="0" applyFont="1" applyAlignment="1">
      <alignment horizontal="right" readingOrder="2"/>
    </xf>
    <xf numFmtId="0" fontId="2" fillId="5" borderId="14" xfId="0" applyFont="1" applyFill="1" applyBorder="1" applyAlignment="1">
      <alignment horizontal="center"/>
    </xf>
    <xf numFmtId="0" fontId="2" fillId="5" borderId="15" xfId="0" applyFont="1" applyFill="1" applyBorder="1" applyAlignment="1">
      <alignment horizontal="center"/>
    </xf>
    <xf numFmtId="0" fontId="2" fillId="0" borderId="5" xfId="0" applyFont="1" applyBorder="1" applyAlignment="1">
      <alignment horizontal="center" wrapText="1"/>
    </xf>
    <xf numFmtId="0" fontId="2" fillId="0" borderId="0" xfId="0" applyFont="1" applyAlignment="1">
      <alignment horizontal="center" wrapText="1"/>
    </xf>
    <xf numFmtId="0" fontId="2" fillId="0" borderId="17" xfId="0" applyFont="1" applyBorder="1" applyAlignment="1">
      <alignment horizontal="center"/>
    </xf>
    <xf numFmtId="0" fontId="2" fillId="0" borderId="18" xfId="0" applyFont="1" applyBorder="1" applyAlignment="1">
      <alignment horizontal="center"/>
    </xf>
    <xf numFmtId="0" fontId="2" fillId="0" borderId="19" xfId="0" applyFont="1" applyBorder="1" applyAlignment="1">
      <alignment horizontal="center"/>
    </xf>
    <xf numFmtId="0" fontId="13" fillId="5" borderId="0" xfId="0" quotePrefix="1" applyFont="1" applyFill="1" applyAlignment="1">
      <alignment horizontal="center"/>
    </xf>
    <xf numFmtId="0" fontId="2" fillId="0" borderId="19" xfId="0" quotePrefix="1" applyFont="1" applyBorder="1" applyAlignment="1">
      <alignment horizontal="center"/>
    </xf>
    <xf numFmtId="0" fontId="13" fillId="0" borderId="17" xfId="0" quotePrefix="1" applyFont="1" applyBorder="1" applyAlignment="1">
      <alignment horizontal="center"/>
    </xf>
    <xf numFmtId="0" fontId="2" fillId="0" borderId="20" xfId="0" applyFont="1" applyBorder="1"/>
    <xf numFmtId="0" fontId="2" fillId="0" borderId="20" xfId="0" applyFont="1" applyBorder="1" applyAlignment="1">
      <alignment horizontal="center"/>
    </xf>
    <xf numFmtId="0" fontId="20" fillId="6" borderId="0" xfId="0" applyFont="1" applyFill="1"/>
    <xf numFmtId="0" fontId="20" fillId="6" borderId="0" xfId="0" applyFont="1" applyFill="1" applyAlignment="1">
      <alignment horizontal="center"/>
    </xf>
    <xf numFmtId="37" fontId="13" fillId="5" borderId="0" xfId="0" quotePrefix="1" applyNumberFormat="1" applyFont="1" applyFill="1" applyAlignment="1">
      <alignment horizontal="center"/>
    </xf>
    <xf numFmtId="0" fontId="4" fillId="5" borderId="0" xfId="0" applyFont="1" applyFill="1"/>
    <xf numFmtId="0" fontId="6" fillId="0" borderId="14" xfId="0" applyFont="1" applyBorder="1"/>
    <xf numFmtId="0" fontId="6" fillId="0" borderId="15" xfId="0" applyFont="1" applyBorder="1"/>
    <xf numFmtId="0" fontId="6" fillId="0" borderId="16" xfId="0" applyFont="1" applyBorder="1"/>
    <xf numFmtId="37" fontId="2" fillId="0" borderId="0" xfId="0" applyNumberFormat="1" applyFont="1"/>
    <xf numFmtId="0" fontId="2" fillId="0" borderId="23" xfId="0" applyFont="1" applyBorder="1"/>
    <xf numFmtId="0" fontId="2" fillId="0" borderId="24" xfId="0" applyFont="1" applyBorder="1"/>
    <xf numFmtId="0" fontId="22" fillId="5" borderId="22" xfId="0" applyFont="1" applyFill="1" applyBorder="1"/>
    <xf numFmtId="0" fontId="22" fillId="5" borderId="23" xfId="0" applyFont="1" applyFill="1" applyBorder="1"/>
    <xf numFmtId="0" fontId="22" fillId="5" borderId="24" xfId="0" applyFont="1" applyFill="1" applyBorder="1"/>
    <xf numFmtId="0" fontId="22" fillId="5" borderId="25" xfId="0" applyFont="1" applyFill="1" applyBorder="1"/>
    <xf numFmtId="0" fontId="22" fillId="5" borderId="0" xfId="0" applyFont="1" applyFill="1"/>
    <xf numFmtId="0" fontId="22" fillId="5" borderId="26" xfId="0" applyFont="1" applyFill="1" applyBorder="1"/>
    <xf numFmtId="37" fontId="22" fillId="5" borderId="26" xfId="0" applyNumberFormat="1" applyFont="1" applyFill="1" applyBorder="1"/>
    <xf numFmtId="0" fontId="22" fillId="5" borderId="27" xfId="0" applyFont="1" applyFill="1" applyBorder="1"/>
    <xf numFmtId="0" fontId="22" fillId="5" borderId="28" xfId="0" applyFont="1" applyFill="1" applyBorder="1"/>
    <xf numFmtId="0" fontId="22" fillId="5" borderId="29" xfId="0" applyFont="1" applyFill="1" applyBorder="1"/>
    <xf numFmtId="0" fontId="13" fillId="0" borderId="14" xfId="0" applyFont="1" applyBorder="1"/>
    <xf numFmtId="0" fontId="13" fillId="0" borderId="15" xfId="0" applyFont="1" applyBorder="1"/>
    <xf numFmtId="0" fontId="13" fillId="0" borderId="16" xfId="0" applyFont="1" applyBorder="1"/>
    <xf numFmtId="0" fontId="6" fillId="0" borderId="22" xfId="0" applyFont="1" applyBorder="1"/>
    <xf numFmtId="0" fontId="6" fillId="0" borderId="23" xfId="0" applyFont="1" applyBorder="1"/>
    <xf numFmtId="0" fontId="6" fillId="0" borderId="24" xfId="0" applyFont="1" applyBorder="1"/>
    <xf numFmtId="0" fontId="6" fillId="0" borderId="27" xfId="0" applyFont="1" applyBorder="1"/>
    <xf numFmtId="0" fontId="6" fillId="0" borderId="28" xfId="0" applyFont="1" applyBorder="1"/>
    <xf numFmtId="0" fontId="6" fillId="0" borderId="29" xfId="0" applyFont="1" applyBorder="1"/>
    <xf numFmtId="164" fontId="13" fillId="0" borderId="22" xfId="0" applyNumberFormat="1" applyFont="1" applyBorder="1"/>
    <xf numFmtId="164" fontId="13" fillId="0" borderId="27" xfId="0" applyNumberFormat="1" applyFont="1" applyBorder="1"/>
    <xf numFmtId="0" fontId="2" fillId="0" borderId="22" xfId="0" applyFont="1" applyBorder="1"/>
    <xf numFmtId="0" fontId="2" fillId="0" borderId="25" xfId="0" applyFont="1" applyBorder="1"/>
    <xf numFmtId="0" fontId="2" fillId="0" borderId="26" xfId="0" applyFont="1" applyBorder="1"/>
    <xf numFmtId="0" fontId="2" fillId="0" borderId="27" xfId="0" applyFont="1" applyBorder="1"/>
    <xf numFmtId="0" fontId="2" fillId="0" borderId="28" xfId="0" applyFont="1" applyBorder="1"/>
    <xf numFmtId="0" fontId="2" fillId="0" borderId="29" xfId="0" applyFont="1" applyBorder="1"/>
    <xf numFmtId="0" fontId="2" fillId="0" borderId="8" xfId="0" applyFont="1" applyBorder="1"/>
    <xf numFmtId="0" fontId="23" fillId="0" borderId="0" xfId="1" applyAlignment="1"/>
    <xf numFmtId="0" fontId="7" fillId="0" borderId="22" xfId="0" applyFont="1" applyBorder="1"/>
    <xf numFmtId="0" fontId="4" fillId="0" borderId="22" xfId="0" applyFont="1" applyBorder="1"/>
    <xf numFmtId="0" fontId="4" fillId="0" borderId="27" xfId="0" applyFont="1" applyBorder="1"/>
    <xf numFmtId="0" fontId="4" fillId="0" borderId="25" xfId="0" applyFont="1" applyBorder="1"/>
    <xf numFmtId="0" fontId="1" fillId="0" borderId="22" xfId="0" applyFont="1" applyBorder="1"/>
    <xf numFmtId="0" fontId="2" fillId="3" borderId="22" xfId="0" applyFont="1" applyFill="1" applyBorder="1"/>
    <xf numFmtId="0" fontId="2" fillId="3" borderId="23" xfId="0" applyFont="1" applyFill="1" applyBorder="1"/>
    <xf numFmtId="0" fontId="2" fillId="3" borderId="24" xfId="0" applyFont="1" applyFill="1" applyBorder="1"/>
    <xf numFmtId="0" fontId="2" fillId="3" borderId="25" xfId="0" applyFont="1" applyFill="1" applyBorder="1"/>
    <xf numFmtId="0" fontId="2" fillId="3" borderId="26" xfId="0" applyFont="1" applyFill="1" applyBorder="1"/>
    <xf numFmtId="0" fontId="2" fillId="3" borderId="27" xfId="0" applyFont="1" applyFill="1" applyBorder="1"/>
    <xf numFmtId="0" fontId="2" fillId="3" borderId="28" xfId="0" applyFont="1" applyFill="1" applyBorder="1"/>
    <xf numFmtId="0" fontId="2" fillId="3" borderId="29" xfId="0" applyFont="1" applyFill="1" applyBorder="1"/>
    <xf numFmtId="0" fontId="2" fillId="0" borderId="9" xfId="0" applyFont="1" applyBorder="1"/>
    <xf numFmtId="0" fontId="10" fillId="0" borderId="31" xfId="0" applyFont="1" applyBorder="1"/>
    <xf numFmtId="0" fontId="2" fillId="0" borderId="31" xfId="0" applyFont="1" applyBorder="1"/>
    <xf numFmtId="0" fontId="24" fillId="0" borderId="14" xfId="0" applyFont="1" applyBorder="1"/>
    <xf numFmtId="0" fontId="24" fillId="0" borderId="15" xfId="0" applyFont="1" applyBorder="1"/>
    <xf numFmtId="0" fontId="24" fillId="0" borderId="16" xfId="0" applyFont="1" applyBorder="1"/>
    <xf numFmtId="0" fontId="3" fillId="0" borderId="16" xfId="0" applyFont="1" applyBorder="1"/>
    <xf numFmtId="0" fontId="4" fillId="7" borderId="0" xfId="0" applyFont="1" applyFill="1"/>
    <xf numFmtId="0" fontId="2" fillId="7" borderId="0" xfId="0" applyFont="1" applyFill="1"/>
    <xf numFmtId="0" fontId="14" fillId="7" borderId="0" xfId="0" applyFont="1" applyFill="1"/>
    <xf numFmtId="0" fontId="13" fillId="5" borderId="19" xfId="0" quotePrefix="1" applyFont="1" applyFill="1" applyBorder="1" applyAlignment="1">
      <alignment horizontal="center"/>
    </xf>
    <xf numFmtId="0" fontId="2" fillId="0" borderId="14" xfId="0" applyFont="1" applyBorder="1"/>
    <xf numFmtId="0" fontId="2" fillId="0" borderId="16" xfId="0" applyFont="1" applyBorder="1"/>
    <xf numFmtId="0" fontId="2" fillId="0" borderId="30" xfId="0" applyFont="1" applyBorder="1" applyAlignment="1">
      <alignment horizontal="center"/>
    </xf>
    <xf numFmtId="0" fontId="13" fillId="0" borderId="30" xfId="0" quotePrefix="1" applyFont="1" applyBorder="1" applyAlignment="1">
      <alignment horizontal="center"/>
    </xf>
    <xf numFmtId="0" fontId="2" fillId="0" borderId="30" xfId="0" applyFont="1" applyBorder="1"/>
    <xf numFmtId="0" fontId="4" fillId="0" borderId="30" xfId="0" applyFont="1" applyBorder="1" applyAlignment="1">
      <alignment horizontal="center" wrapText="1"/>
    </xf>
    <xf numFmtId="0" fontId="2" fillId="0" borderId="30" xfId="0" applyFont="1" applyBorder="1" applyAlignment="1">
      <alignment horizontal="center" wrapText="1"/>
    </xf>
    <xf numFmtId="0" fontId="4" fillId="0" borderId="14" xfId="0" applyFont="1" applyBorder="1"/>
    <xf numFmtId="0" fontId="4" fillId="0" borderId="16" xfId="0" applyFont="1" applyBorder="1"/>
    <xf numFmtId="0" fontId="13" fillId="0" borderId="0" xfId="0" applyFont="1" applyAlignment="1">
      <alignment horizontal="center"/>
    </xf>
    <xf numFmtId="0" fontId="13" fillId="5" borderId="18" xfId="0" quotePrefix="1" applyFont="1" applyFill="1" applyBorder="1" applyAlignment="1">
      <alignment horizontal="center"/>
    </xf>
    <xf numFmtId="0" fontId="13" fillId="5" borderId="17" xfId="0" applyFont="1" applyFill="1" applyBorder="1" applyAlignment="1">
      <alignment horizontal="center"/>
    </xf>
    <xf numFmtId="0" fontId="13" fillId="5" borderId="17" xfId="0" quotePrefix="1" applyFont="1" applyFill="1" applyBorder="1" applyAlignment="1">
      <alignment horizontal="center"/>
    </xf>
    <xf numFmtId="37" fontId="14" fillId="0" borderId="0" xfId="0" applyNumberFormat="1" applyFont="1" applyAlignment="1">
      <alignment horizontal="center"/>
    </xf>
    <xf numFmtId="0" fontId="14" fillId="0" borderId="20" xfId="0" applyFont="1" applyBorder="1" applyAlignment="1">
      <alignment horizontal="center"/>
    </xf>
    <xf numFmtId="0" fontId="14" fillId="0" borderId="21" xfId="0" applyFont="1" applyBorder="1" applyAlignment="1">
      <alignment horizontal="center"/>
    </xf>
    <xf numFmtId="37" fontId="13" fillId="5" borderId="0" xfId="0" applyNumberFormat="1" applyFont="1" applyFill="1" applyAlignment="1">
      <alignment horizontal="center"/>
    </xf>
    <xf numFmtId="0" fontId="13" fillId="5" borderId="0" xfId="0" applyFont="1" applyFill="1" applyAlignment="1">
      <alignment horizontal="center"/>
    </xf>
    <xf numFmtId="0" fontId="2" fillId="0" borderId="15" xfId="0" applyFont="1" applyBorder="1"/>
    <xf numFmtId="0" fontId="4" fillId="0" borderId="23" xfId="0" applyFont="1" applyBorder="1"/>
    <xf numFmtId="0" fontId="4" fillId="0" borderId="24" xfId="0" applyFont="1" applyBorder="1"/>
    <xf numFmtId="0" fontId="4" fillId="0" borderId="28" xfId="0" applyFont="1" applyBorder="1"/>
    <xf numFmtId="0" fontId="4" fillId="0" borderId="29" xfId="0" applyFont="1" applyBorder="1"/>
    <xf numFmtId="0" fontId="2" fillId="0" borderId="25" xfId="0" applyFont="1" applyBorder="1" applyAlignment="1">
      <alignment horizontal="right"/>
    </xf>
    <xf numFmtId="0" fontId="4" fillId="0" borderId="26" xfId="0" applyFont="1" applyBorder="1"/>
    <xf numFmtId="0" fontId="2" fillId="0" borderId="27" xfId="0" applyFont="1" applyBorder="1" applyAlignment="1">
      <alignment horizontal="right"/>
    </xf>
    <xf numFmtId="0" fontId="7" fillId="0" borderId="25" xfId="0" applyFont="1" applyBorder="1"/>
    <xf numFmtId="0" fontId="26" fillId="0" borderId="25" xfId="0" applyFont="1" applyBorder="1"/>
    <xf numFmtId="0" fontId="26" fillId="0" borderId="22" xfId="0" applyFont="1" applyBorder="1"/>
    <xf numFmtId="0" fontId="26" fillId="0" borderId="27" xfId="0" applyFont="1" applyBorder="1"/>
    <xf numFmtId="0" fontId="7" fillId="5" borderId="25" xfId="0" applyFont="1" applyFill="1" applyBorder="1"/>
    <xf numFmtId="0" fontId="2" fillId="5" borderId="0" xfId="0" applyFont="1" applyFill="1"/>
    <xf numFmtId="0" fontId="2" fillId="5" borderId="26" xfId="0" applyFont="1" applyFill="1" applyBorder="1"/>
    <xf numFmtId="3" fontId="17" fillId="0" borderId="33" xfId="0" applyNumberFormat="1" applyFont="1" applyBorder="1"/>
    <xf numFmtId="0" fontId="5" fillId="0" borderId="33" xfId="0" applyFont="1" applyBorder="1"/>
    <xf numFmtId="0" fontId="3" fillId="0" borderId="33" xfId="0" applyFont="1" applyBorder="1"/>
    <xf numFmtId="0" fontId="17" fillId="0" borderId="33" xfId="0" applyFont="1" applyBorder="1"/>
    <xf numFmtId="0" fontId="2" fillId="0" borderId="33" xfId="0" applyFont="1" applyBorder="1"/>
    <xf numFmtId="164" fontId="17" fillId="0" borderId="33" xfId="0" applyNumberFormat="1" applyFont="1" applyBorder="1"/>
    <xf numFmtId="3" fontId="19" fillId="0" borderId="33" xfId="0" applyNumberFormat="1" applyFont="1" applyBorder="1"/>
    <xf numFmtId="0" fontId="19" fillId="0" borderId="33" xfId="0" applyFont="1" applyBorder="1"/>
    <xf numFmtId="3" fontId="17" fillId="0" borderId="34" xfId="0" applyNumberFormat="1" applyFont="1" applyBorder="1"/>
    <xf numFmtId="0" fontId="5" fillId="0" borderId="34" xfId="0" applyFont="1" applyBorder="1"/>
    <xf numFmtId="0" fontId="3" fillId="0" borderId="34" xfId="0" applyFont="1" applyBorder="1"/>
    <xf numFmtId="0" fontId="6" fillId="0" borderId="35" xfId="0" applyFont="1" applyBorder="1"/>
    <xf numFmtId="0" fontId="5" fillId="0" borderId="36" xfId="0" applyFont="1" applyBorder="1"/>
    <xf numFmtId="0" fontId="5" fillId="0" borderId="37" xfId="0" applyFont="1" applyBorder="1" applyAlignment="1">
      <alignment wrapText="1"/>
    </xf>
    <xf numFmtId="0" fontId="5" fillId="0" borderId="35" xfId="0" applyFont="1" applyBorder="1" applyAlignment="1">
      <alignment wrapText="1"/>
    </xf>
    <xf numFmtId="0" fontId="17" fillId="0" borderId="34" xfId="0" applyFont="1" applyBorder="1"/>
    <xf numFmtId="0" fontId="2" fillId="0" borderId="34" xfId="0" applyFont="1" applyBorder="1"/>
    <xf numFmtId="0" fontId="5" fillId="0" borderId="35" xfId="0" applyFont="1" applyBorder="1"/>
    <xf numFmtId="0" fontId="4" fillId="0" borderId="36" xfId="0" applyFont="1" applyBorder="1"/>
    <xf numFmtId="0" fontId="6" fillId="0" borderId="37" xfId="0" applyFont="1" applyBorder="1" applyAlignment="1">
      <alignment wrapText="1"/>
    </xf>
    <xf numFmtId="164" fontId="13" fillId="0" borderId="38" xfId="0" applyNumberFormat="1" applyFont="1" applyBorder="1"/>
    <xf numFmtId="0" fontId="2" fillId="0" borderId="38" xfId="0" applyFont="1" applyBorder="1"/>
    <xf numFmtId="3" fontId="14" fillId="2" borderId="14" xfId="0" applyNumberFormat="1" applyFont="1" applyFill="1" applyBorder="1"/>
    <xf numFmtId="164" fontId="14" fillId="2" borderId="15" xfId="0" applyNumberFormat="1" applyFont="1" applyFill="1" applyBorder="1"/>
    <xf numFmtId="164" fontId="14" fillId="2" borderId="16" xfId="0" applyNumberFormat="1" applyFont="1" applyFill="1" applyBorder="1"/>
    <xf numFmtId="164" fontId="14" fillId="3" borderId="14" xfId="0" applyNumberFormat="1" applyFont="1" applyFill="1" applyBorder="1"/>
    <xf numFmtId="164" fontId="14" fillId="3" borderId="16" xfId="0" applyNumberFormat="1" applyFont="1" applyFill="1" applyBorder="1"/>
    <xf numFmtId="164" fontId="14" fillId="3" borderId="15" xfId="0" applyNumberFormat="1" applyFont="1" applyFill="1" applyBorder="1"/>
    <xf numFmtId="37" fontId="13" fillId="0" borderId="0" xfId="0" applyNumberFormat="1" applyFont="1"/>
    <xf numFmtId="0" fontId="14" fillId="3" borderId="5" xfId="0" quotePrefix="1" applyFont="1" applyFill="1" applyBorder="1" applyAlignment="1">
      <alignment horizontal="center"/>
    </xf>
    <xf numFmtId="0" fontId="14" fillId="0" borderId="5" xfId="0" applyFont="1" applyBorder="1" applyAlignment="1">
      <alignment horizontal="center"/>
    </xf>
    <xf numFmtId="0" fontId="14" fillId="2" borderId="0" xfId="0" quotePrefix="1" applyFont="1" applyFill="1" applyAlignment="1">
      <alignment horizontal="center"/>
    </xf>
    <xf numFmtId="164" fontId="2" fillId="5" borderId="0" xfId="0" applyNumberFormat="1" applyFont="1" applyFill="1"/>
    <xf numFmtId="0" fontId="7" fillId="0" borderId="0" xfId="0" applyFont="1" applyAlignment="1">
      <alignment horizontal="right" readingOrder="2"/>
    </xf>
    <xf numFmtId="0" fontId="27" fillId="0" borderId="0" xfId="0" applyFont="1"/>
    <xf numFmtId="0" fontId="28" fillId="0" borderId="0" xfId="0" applyFont="1"/>
    <xf numFmtId="0" fontId="12" fillId="0" borderId="0" xfId="0" applyFont="1"/>
    <xf numFmtId="0" fontId="2" fillId="0" borderId="5" xfId="0" applyFont="1" applyBorder="1" applyAlignment="1">
      <alignment horizontal="right" readingOrder="2"/>
    </xf>
    <xf numFmtId="3" fontId="14" fillId="0" borderId="0" xfId="0" applyNumberFormat="1" applyFont="1"/>
    <xf numFmtId="0" fontId="2" fillId="0" borderId="0" xfId="0" applyFont="1" applyAlignment="1">
      <alignment horizontal="center" readingOrder="2"/>
    </xf>
    <xf numFmtId="164" fontId="14" fillId="0" borderId="0" xfId="0" applyNumberFormat="1" applyFont="1"/>
    <xf numFmtId="165" fontId="2" fillId="0" borderId="0" xfId="0" applyNumberFormat="1" applyFont="1"/>
    <xf numFmtId="3" fontId="14" fillId="0" borderId="12" xfId="0" applyNumberFormat="1" applyFont="1" applyBorder="1"/>
    <xf numFmtId="0" fontId="2" fillId="0" borderId="22" xfId="0" applyFont="1" applyBorder="1" applyAlignment="1">
      <alignment horizontal="right" readingOrder="2"/>
    </xf>
    <xf numFmtId="0" fontId="2" fillId="0" borderId="25" xfId="0" applyFont="1" applyBorder="1" applyAlignment="1">
      <alignment horizontal="right" readingOrder="2"/>
    </xf>
    <xf numFmtId="0" fontId="2" fillId="0" borderId="14" xfId="0" applyFont="1" applyBorder="1" applyAlignment="1">
      <alignment horizontal="right" readingOrder="2"/>
    </xf>
    <xf numFmtId="3" fontId="29" fillId="0" borderId="0" xfId="0" applyNumberFormat="1" applyFont="1"/>
    <xf numFmtId="164" fontId="6" fillId="0" borderId="12" xfId="0" applyNumberFormat="1" applyFont="1" applyBorder="1"/>
    <xf numFmtId="164" fontId="6" fillId="0" borderId="0" xfId="0" applyNumberFormat="1" applyFont="1"/>
    <xf numFmtId="0" fontId="4" fillId="0" borderId="5" xfId="0" applyFont="1" applyBorder="1"/>
    <xf numFmtId="0" fontId="4" fillId="0" borderId="20" xfId="0" applyFont="1" applyBorder="1"/>
    <xf numFmtId="0" fontId="10" fillId="0" borderId="22" xfId="0" applyFont="1" applyBorder="1"/>
    <xf numFmtId="0" fontId="30" fillId="0" borderId="22" xfId="0" applyFont="1" applyBorder="1"/>
    <xf numFmtId="0" fontId="14" fillId="0" borderId="23" xfId="0" applyFont="1" applyBorder="1"/>
    <xf numFmtId="0" fontId="14" fillId="0" borderId="24" xfId="0" applyFont="1" applyBorder="1"/>
    <xf numFmtId="0" fontId="14" fillId="0" borderId="25" xfId="0" applyFont="1" applyBorder="1"/>
    <xf numFmtId="0" fontId="14" fillId="0" borderId="26" xfId="0" applyFont="1" applyBorder="1"/>
    <xf numFmtId="0" fontId="14" fillId="0" borderId="27" xfId="0" applyFont="1" applyBorder="1"/>
    <xf numFmtId="0" fontId="14" fillId="0" borderId="28" xfId="0" applyFont="1" applyBorder="1"/>
    <xf numFmtId="0" fontId="9" fillId="0" borderId="28" xfId="0" applyFont="1" applyBorder="1"/>
    <xf numFmtId="164" fontId="14" fillId="0" borderId="39" xfId="0" applyNumberFormat="1" applyFont="1" applyBorder="1"/>
    <xf numFmtId="0" fontId="14" fillId="0" borderId="29" xfId="0" applyFont="1" applyBorder="1"/>
    <xf numFmtId="3" fontId="14" fillId="0" borderId="39" xfId="0" applyNumberFormat="1" applyFont="1" applyBorder="1"/>
    <xf numFmtId="164" fontId="15" fillId="0" borderId="0" xfId="0" applyNumberFormat="1" applyFont="1"/>
    <xf numFmtId="0" fontId="31" fillId="0" borderId="0" xfId="0" applyFont="1"/>
    <xf numFmtId="164" fontId="15" fillId="0" borderId="40" xfId="0" applyNumberFormat="1" applyFont="1" applyBorder="1"/>
    <xf numFmtId="0" fontId="2" fillId="0" borderId="21" xfId="0" applyFont="1" applyBorder="1" applyAlignment="1">
      <alignment horizontal="center"/>
    </xf>
    <xf numFmtId="3" fontId="2" fillId="0" borderId="21" xfId="0" applyNumberFormat="1" applyFont="1" applyBorder="1" applyAlignment="1">
      <alignment horizontal="center"/>
    </xf>
    <xf numFmtId="0" fontId="32" fillId="0" borderId="0" xfId="0" applyFont="1"/>
    <xf numFmtId="0" fontId="33" fillId="0" borderId="0" xfId="0" applyFont="1"/>
    <xf numFmtId="37" fontId="17" fillId="0" borderId="33" xfId="0" applyNumberFormat="1" applyFont="1" applyBorder="1"/>
    <xf numFmtId="0" fontId="3" fillId="0" borderId="0" xfId="2" applyFont="1"/>
    <xf numFmtId="0" fontId="2" fillId="0" borderId="0" xfId="2" applyFont="1"/>
    <xf numFmtId="0" fontId="4" fillId="0" borderId="0" xfId="2" applyFont="1" applyAlignment="1">
      <alignment horizontal="right"/>
    </xf>
    <xf numFmtId="0" fontId="2" fillId="0" borderId="0" xfId="2" applyFont="1" applyAlignment="1">
      <alignment horizontal="right"/>
    </xf>
    <xf numFmtId="0" fontId="2" fillId="0" borderId="5" xfId="2" applyFont="1" applyBorder="1"/>
    <xf numFmtId="3" fontId="14" fillId="0" borderId="0" xfId="2" applyNumberFormat="1" applyFont="1"/>
    <xf numFmtId="0" fontId="14" fillId="0" borderId="0" xfId="2" applyFont="1"/>
    <xf numFmtId="164" fontId="14" fillId="0" borderId="0" xfId="2" applyNumberFormat="1" applyFont="1"/>
    <xf numFmtId="3" fontId="14" fillId="0" borderId="12" xfId="2" applyNumberFormat="1" applyFont="1" applyBorder="1"/>
    <xf numFmtId="3" fontId="2" fillId="0" borderId="0" xfId="2" applyNumberFormat="1" applyFont="1"/>
    <xf numFmtId="3" fontId="2" fillId="0" borderId="12" xfId="2" applyNumberFormat="1" applyFont="1" applyBorder="1"/>
    <xf numFmtId="164" fontId="2" fillId="0" borderId="0" xfId="2" applyNumberFormat="1" applyFont="1"/>
    <xf numFmtId="164" fontId="6" fillId="0" borderId="12" xfId="2" applyNumberFormat="1" applyFont="1" applyBorder="1"/>
    <xf numFmtId="164" fontId="6" fillId="0" borderId="0" xfId="2" applyNumberFormat="1" applyFont="1"/>
    <xf numFmtId="0" fontId="2" fillId="0" borderId="20" xfId="2" applyFont="1" applyBorder="1"/>
    <xf numFmtId="0" fontId="2" fillId="0" borderId="0" xfId="2" applyFont="1" applyAlignment="1">
      <alignment horizontal="center"/>
    </xf>
    <xf numFmtId="0" fontId="17" fillId="0" borderId="0" xfId="2" applyFont="1"/>
    <xf numFmtId="164" fontId="4" fillId="3" borderId="0" xfId="2" applyNumberFormat="1" applyFont="1" applyFill="1"/>
    <xf numFmtId="0" fontId="2" fillId="5" borderId="0" xfId="2" applyFont="1" applyFill="1"/>
    <xf numFmtId="0" fontId="20" fillId="0" borderId="0" xfId="2" applyFont="1"/>
    <xf numFmtId="0" fontId="9" fillId="0" borderId="0" xfId="2" applyFont="1"/>
    <xf numFmtId="0" fontId="37" fillId="5" borderId="0" xfId="2" applyFont="1" applyFill="1" applyAlignment="1">
      <alignment horizontal="right"/>
    </xf>
    <xf numFmtId="0" fontId="17" fillId="10" borderId="0" xfId="2" applyFont="1" applyFill="1" applyAlignment="1">
      <alignment horizontal="right"/>
    </xf>
    <xf numFmtId="0" fontId="2" fillId="0" borderId="20" xfId="2" applyFont="1" applyBorder="1" applyAlignment="1">
      <alignment horizontal="right"/>
    </xf>
    <xf numFmtId="0" fontId="36" fillId="0" borderId="20" xfId="2" applyFont="1" applyBorder="1"/>
    <xf numFmtId="0" fontId="4" fillId="5" borderId="0" xfId="2" applyFont="1" applyFill="1" applyAlignment="1">
      <alignment horizontal="right"/>
    </xf>
    <xf numFmtId="0" fontId="2" fillId="0" borderId="5" xfId="2" applyFont="1" applyBorder="1" applyAlignment="1">
      <alignment horizontal="center"/>
    </xf>
    <xf numFmtId="3" fontId="2" fillId="0" borderId="0" xfId="2" applyNumberFormat="1" applyFont="1" applyAlignment="1">
      <alignment horizontal="center"/>
    </xf>
    <xf numFmtId="164" fontId="2" fillId="0" borderId="0" xfId="2" applyNumberFormat="1" applyFont="1" applyAlignment="1">
      <alignment horizontal="center"/>
    </xf>
    <xf numFmtId="3" fontId="2" fillId="0" borderId="12" xfId="2" applyNumberFormat="1" applyFont="1" applyBorder="1" applyAlignment="1">
      <alignment horizontal="center"/>
    </xf>
    <xf numFmtId="164" fontId="2" fillId="0" borderId="12" xfId="2" applyNumberFormat="1" applyFont="1" applyBorder="1" applyAlignment="1">
      <alignment horizontal="center"/>
    </xf>
    <xf numFmtId="0" fontId="38" fillId="0" borderId="0" xfId="2" applyFont="1" applyAlignment="1">
      <alignment horizontal="right"/>
    </xf>
    <xf numFmtId="0" fontId="2" fillId="0" borderId="5" xfId="2" applyFont="1" applyBorder="1" applyAlignment="1">
      <alignment horizontal="right"/>
    </xf>
    <xf numFmtId="0" fontId="36" fillId="0" borderId="5" xfId="2" applyFont="1" applyBorder="1"/>
    <xf numFmtId="0" fontId="14" fillId="0" borderId="5" xfId="2" applyFont="1" applyBorder="1" applyAlignment="1">
      <alignment wrapText="1"/>
    </xf>
    <xf numFmtId="0" fontId="14" fillId="0" borderId="0" xfId="2" applyFont="1" applyAlignment="1">
      <alignment horizontal="right"/>
    </xf>
    <xf numFmtId="3" fontId="14" fillId="0" borderId="17" xfId="2" applyNumberFormat="1" applyFont="1" applyBorder="1"/>
    <xf numFmtId="164" fontId="14" fillId="0" borderId="19" xfId="2" applyNumberFormat="1" applyFont="1" applyBorder="1"/>
    <xf numFmtId="164" fontId="14" fillId="0" borderId="18" xfId="2" applyNumberFormat="1" applyFont="1" applyBorder="1"/>
    <xf numFmtId="0" fontId="15" fillId="0" borderId="0" xfId="2" applyFont="1"/>
    <xf numFmtId="0" fontId="15" fillId="0" borderId="0" xfId="2" applyFont="1" applyAlignment="1">
      <alignment horizontal="right"/>
    </xf>
    <xf numFmtId="0" fontId="37" fillId="0" borderId="0" xfId="2" applyFont="1" applyAlignment="1">
      <alignment horizontal="right"/>
    </xf>
    <xf numFmtId="0" fontId="10" fillId="5" borderId="0" xfId="2" applyFont="1" applyFill="1" applyAlignment="1">
      <alignment horizontal="right"/>
    </xf>
    <xf numFmtId="164" fontId="14" fillId="0" borderId="12" xfId="2" applyNumberFormat="1" applyFont="1" applyBorder="1"/>
    <xf numFmtId="0" fontId="10" fillId="0" borderId="0" xfId="2" applyFont="1" applyAlignment="1">
      <alignment horizontal="right"/>
    </xf>
    <xf numFmtId="0" fontId="34" fillId="0" borderId="0" xfId="2"/>
    <xf numFmtId="0" fontId="40" fillId="0" borderId="0" xfId="2" applyFont="1" applyAlignment="1">
      <alignment horizontal="right" readingOrder="2"/>
    </xf>
    <xf numFmtId="0" fontId="41" fillId="0" borderId="0" xfId="2" applyFont="1" applyAlignment="1">
      <alignment horizontal="right" readingOrder="2"/>
    </xf>
    <xf numFmtId="0" fontId="35" fillId="0" borderId="0" xfId="2" applyFont="1"/>
    <xf numFmtId="164" fontId="40" fillId="0" borderId="0" xfId="2" applyNumberFormat="1" applyFont="1" applyAlignment="1">
      <alignment horizontal="right" readingOrder="2"/>
    </xf>
    <xf numFmtId="3" fontId="40" fillId="0" borderId="0" xfId="2" applyNumberFormat="1" applyFont="1" applyAlignment="1">
      <alignment horizontal="right" readingOrder="2"/>
    </xf>
    <xf numFmtId="0" fontId="40" fillId="0" borderId="0" xfId="2" applyFont="1" applyAlignment="1">
      <alignment horizontal="center" readingOrder="2"/>
    </xf>
    <xf numFmtId="0" fontId="41" fillId="2" borderId="0" xfId="2" applyFont="1" applyFill="1" applyAlignment="1">
      <alignment horizontal="right" readingOrder="2"/>
    </xf>
    <xf numFmtId="0" fontId="40" fillId="0" borderId="5" xfId="2" applyFont="1" applyBorder="1" applyAlignment="1">
      <alignment horizontal="right" readingOrder="2"/>
    </xf>
    <xf numFmtId="0" fontId="35" fillId="0" borderId="5" xfId="2" applyFont="1" applyBorder="1"/>
    <xf numFmtId="0" fontId="42" fillId="0" borderId="5" xfId="2" applyFont="1" applyBorder="1"/>
    <xf numFmtId="0" fontId="42" fillId="0" borderId="5" xfId="2" applyFont="1" applyBorder="1" applyAlignment="1">
      <alignment wrapText="1"/>
    </xf>
    <xf numFmtId="0" fontId="40" fillId="0" borderId="0" xfId="2" applyFont="1"/>
    <xf numFmtId="0" fontId="43" fillId="0" borderId="0" xfId="2" applyFont="1" applyAlignment="1">
      <alignment horizontal="right" readingOrder="2"/>
    </xf>
    <xf numFmtId="0" fontId="44" fillId="0" borderId="0" xfId="2" applyFont="1"/>
    <xf numFmtId="164" fontId="45" fillId="0" borderId="0" xfId="2" applyNumberFormat="1" applyFont="1" applyAlignment="1">
      <alignment horizontal="right" readingOrder="2"/>
    </xf>
    <xf numFmtId="164" fontId="45" fillId="0" borderId="0" xfId="2" applyNumberFormat="1" applyFont="1"/>
    <xf numFmtId="0" fontId="46" fillId="0" borderId="0" xfId="2" applyFont="1"/>
    <xf numFmtId="0" fontId="47" fillId="0" borderId="0" xfId="2" applyFont="1"/>
    <xf numFmtId="0" fontId="48" fillId="0" borderId="0" xfId="2" applyFont="1"/>
    <xf numFmtId="0" fontId="42" fillId="0" borderId="0" xfId="2" applyFont="1" applyAlignment="1">
      <alignment horizontal="right" readingOrder="2"/>
    </xf>
    <xf numFmtId="164" fontId="47" fillId="0" borderId="0" xfId="2" applyNumberFormat="1" applyFont="1" applyAlignment="1">
      <alignment horizontal="right" readingOrder="2"/>
    </xf>
    <xf numFmtId="164" fontId="47" fillId="0" borderId="0" xfId="2" applyNumberFormat="1" applyFont="1"/>
    <xf numFmtId="3" fontId="47" fillId="0" borderId="0" xfId="2" applyNumberFormat="1" applyFont="1" applyAlignment="1">
      <alignment horizontal="right" readingOrder="2"/>
    </xf>
    <xf numFmtId="3" fontId="47" fillId="0" borderId="0" xfId="2" applyNumberFormat="1" applyFont="1"/>
    <xf numFmtId="0" fontId="42" fillId="11" borderId="0" xfId="2" applyFont="1" applyFill="1" applyAlignment="1">
      <alignment horizontal="right" readingOrder="2"/>
    </xf>
    <xf numFmtId="0" fontId="48" fillId="11" borderId="0" xfId="2" applyFont="1" applyFill="1"/>
    <xf numFmtId="0" fontId="43" fillId="11" borderId="0" xfId="2" applyFont="1" applyFill="1" applyAlignment="1">
      <alignment horizontal="right" readingOrder="2"/>
    </xf>
    <xf numFmtId="0" fontId="44" fillId="11" borderId="0" xfId="2" applyFont="1" applyFill="1"/>
    <xf numFmtId="3" fontId="45" fillId="0" borderId="0" xfId="2" applyNumberFormat="1" applyFont="1" applyAlignment="1">
      <alignment horizontal="right" readingOrder="2"/>
    </xf>
    <xf numFmtId="3" fontId="45" fillId="0" borderId="0" xfId="2" applyNumberFormat="1" applyFont="1"/>
    <xf numFmtId="0" fontId="47" fillId="0" borderId="0" xfId="2" applyFont="1" applyAlignment="1">
      <alignment horizontal="center" readingOrder="2"/>
    </xf>
    <xf numFmtId="0" fontId="47" fillId="0" borderId="0" xfId="2" applyFont="1" applyAlignment="1">
      <alignment horizontal="center"/>
    </xf>
    <xf numFmtId="0" fontId="49" fillId="0" borderId="0" xfId="2" applyFont="1"/>
    <xf numFmtId="164" fontId="49" fillId="3" borderId="12" xfId="2" applyNumberFormat="1" applyFont="1" applyFill="1" applyBorder="1"/>
    <xf numFmtId="164" fontId="49" fillId="2" borderId="12" xfId="2" applyNumberFormat="1" applyFont="1" applyFill="1" applyBorder="1"/>
    <xf numFmtId="164" fontId="49" fillId="2" borderId="12" xfId="2" applyNumberFormat="1" applyFont="1" applyFill="1" applyBorder="1" applyAlignment="1">
      <alignment horizontal="right"/>
    </xf>
    <xf numFmtId="0" fontId="40" fillId="0" borderId="5" xfId="2" applyFont="1" applyBorder="1"/>
    <xf numFmtId="0" fontId="40" fillId="0" borderId="5" xfId="2" applyFont="1" applyBorder="1" applyAlignment="1">
      <alignment wrapText="1"/>
    </xf>
    <xf numFmtId="0" fontId="41" fillId="0" borderId="0" xfId="2" applyFont="1"/>
    <xf numFmtId="164" fontId="40" fillId="0" borderId="0" xfId="2" applyNumberFormat="1" applyFont="1"/>
    <xf numFmtId="0" fontId="41" fillId="12" borderId="22" xfId="2" applyFont="1" applyFill="1" applyBorder="1"/>
    <xf numFmtId="0" fontId="41" fillId="12" borderId="23" xfId="2" applyFont="1" applyFill="1" applyBorder="1"/>
    <xf numFmtId="0" fontId="40" fillId="12" borderId="23" xfId="2" applyFont="1" applyFill="1" applyBorder="1"/>
    <xf numFmtId="0" fontId="40" fillId="12" borderId="24" xfId="2" applyFont="1" applyFill="1" applyBorder="1"/>
    <xf numFmtId="0" fontId="40" fillId="12" borderId="25" xfId="2" applyFont="1" applyFill="1" applyBorder="1"/>
    <xf numFmtId="0" fontId="40" fillId="12" borderId="0" xfId="2" applyFont="1" applyFill="1"/>
    <xf numFmtId="0" fontId="40" fillId="12" borderId="26" xfId="2" applyFont="1" applyFill="1" applyBorder="1"/>
    <xf numFmtId="0" fontId="41" fillId="12" borderId="25" xfId="2" applyFont="1" applyFill="1" applyBorder="1"/>
    <xf numFmtId="0" fontId="34" fillId="12" borderId="0" xfId="2" applyFill="1"/>
    <xf numFmtId="0" fontId="41" fillId="12" borderId="0" xfId="2" applyFont="1" applyFill="1"/>
    <xf numFmtId="0" fontId="47" fillId="12" borderId="25" xfId="2" applyFont="1" applyFill="1" applyBorder="1"/>
    <xf numFmtId="0" fontId="48" fillId="12" borderId="0" xfId="2" applyFont="1" applyFill="1"/>
    <xf numFmtId="164" fontId="47" fillId="12" borderId="0" xfId="2" applyNumberFormat="1" applyFont="1" applyFill="1"/>
    <xf numFmtId="0" fontId="47" fillId="12" borderId="0" xfId="2" applyFont="1" applyFill="1"/>
    <xf numFmtId="3" fontId="47" fillId="12" borderId="0" xfId="2" applyNumberFormat="1" applyFont="1" applyFill="1"/>
    <xf numFmtId="0" fontId="47" fillId="12" borderId="26" xfId="2" applyFont="1" applyFill="1" applyBorder="1"/>
    <xf numFmtId="164" fontId="47" fillId="12" borderId="12" xfId="2" applyNumberFormat="1" applyFont="1" applyFill="1" applyBorder="1"/>
    <xf numFmtId="0" fontId="45" fillId="12" borderId="0" xfId="2" applyFont="1" applyFill="1"/>
    <xf numFmtId="0" fontId="48" fillId="12" borderId="25" xfId="2" applyFont="1" applyFill="1" applyBorder="1"/>
    <xf numFmtId="0" fontId="45" fillId="12" borderId="27" xfId="2" applyFont="1" applyFill="1" applyBorder="1"/>
    <xf numFmtId="0" fontId="47" fillId="12" borderId="28" xfId="2" applyFont="1" applyFill="1" applyBorder="1"/>
    <xf numFmtId="164" fontId="45" fillId="12" borderId="39" xfId="2" applyNumberFormat="1" applyFont="1" applyFill="1" applyBorder="1"/>
    <xf numFmtId="0" fontId="34" fillId="12" borderId="28" xfId="2" applyFill="1" applyBorder="1"/>
    <xf numFmtId="0" fontId="45" fillId="12" borderId="28" xfId="2" applyFont="1" applyFill="1" applyBorder="1"/>
    <xf numFmtId="0" fontId="47" fillId="12" borderId="29" xfId="2" applyFont="1" applyFill="1" applyBorder="1"/>
    <xf numFmtId="164" fontId="40" fillId="0" borderId="12" xfId="2" applyNumberFormat="1" applyFont="1" applyBorder="1"/>
    <xf numFmtId="3" fontId="40" fillId="0" borderId="0" xfId="2" applyNumberFormat="1" applyFont="1"/>
    <xf numFmtId="3" fontId="40" fillId="0" borderId="12" xfId="2" applyNumberFormat="1" applyFont="1" applyBorder="1"/>
    <xf numFmtId="164" fontId="40" fillId="0" borderId="0" xfId="2" applyNumberFormat="1" applyFont="1" applyAlignment="1">
      <alignment horizontal="right"/>
    </xf>
    <xf numFmtId="3" fontId="40" fillId="0" borderId="0" xfId="2" applyNumberFormat="1" applyFont="1" applyAlignment="1">
      <alignment horizontal="right"/>
    </xf>
    <xf numFmtId="0" fontId="50" fillId="0" borderId="0" xfId="2" applyFont="1"/>
    <xf numFmtId="0" fontId="40" fillId="0" borderId="22" xfId="2" applyFont="1" applyBorder="1"/>
    <xf numFmtId="0" fontId="40" fillId="0" borderId="23" xfId="2" applyFont="1" applyBorder="1"/>
    <xf numFmtId="0" fontId="40" fillId="0" borderId="24" xfId="2" applyFont="1" applyBorder="1"/>
    <xf numFmtId="0" fontId="40" fillId="0" borderId="25" xfId="2" applyFont="1" applyBorder="1"/>
    <xf numFmtId="0" fontId="40" fillId="0" borderId="26" xfId="2" applyFont="1" applyBorder="1"/>
    <xf numFmtId="0" fontId="40" fillId="0" borderId="27" xfId="2" applyFont="1" applyBorder="1"/>
    <xf numFmtId="0" fontId="40" fillId="0" borderId="28" xfId="2" applyFont="1" applyBorder="1"/>
    <xf numFmtId="0" fontId="40" fillId="0" borderId="29" xfId="2" applyFont="1" applyBorder="1"/>
    <xf numFmtId="0" fontId="41" fillId="0" borderId="22" xfId="2" applyFont="1" applyBorder="1"/>
    <xf numFmtId="0" fontId="47" fillId="0" borderId="0" xfId="2" applyFont="1" applyAlignment="1">
      <alignment horizontal="right" readingOrder="2"/>
    </xf>
    <xf numFmtId="0" fontId="45" fillId="5" borderId="0" xfId="2" applyFont="1" applyFill="1"/>
    <xf numFmtId="0" fontId="45" fillId="0" borderId="0" xfId="2" applyFont="1"/>
    <xf numFmtId="0" fontId="47" fillId="0" borderId="0" xfId="2" applyFont="1" applyAlignment="1">
      <alignment horizontal="right"/>
    </xf>
    <xf numFmtId="164" fontId="49" fillId="0" borderId="12" xfId="2" applyNumberFormat="1" applyFont="1" applyBorder="1"/>
    <xf numFmtId="0" fontId="49" fillId="0" borderId="12" xfId="2" applyFont="1" applyBorder="1" applyAlignment="1">
      <alignment horizontal="right"/>
    </xf>
    <xf numFmtId="0" fontId="41" fillId="13" borderId="22" xfId="2" applyFont="1" applyFill="1" applyBorder="1"/>
    <xf numFmtId="0" fontId="40" fillId="13" borderId="23" xfId="2" applyFont="1" applyFill="1" applyBorder="1"/>
    <xf numFmtId="0" fontId="40" fillId="13" borderId="24" xfId="2" applyFont="1" applyFill="1" applyBorder="1"/>
    <xf numFmtId="0" fontId="40" fillId="13" borderId="25" xfId="2" applyFont="1" applyFill="1" applyBorder="1"/>
    <xf numFmtId="0" fontId="40" fillId="13" borderId="0" xfId="2" applyFont="1" applyFill="1"/>
    <xf numFmtId="0" fontId="40" fillId="13" borderId="26" xfId="2" applyFont="1" applyFill="1" applyBorder="1"/>
    <xf numFmtId="164" fontId="47" fillId="13" borderId="0" xfId="2" applyNumberFormat="1" applyFont="1" applyFill="1"/>
    <xf numFmtId="164" fontId="47" fillId="13" borderId="12" xfId="2" applyNumberFormat="1" applyFont="1" applyFill="1" applyBorder="1"/>
    <xf numFmtId="0" fontId="52" fillId="12" borderId="0" xfId="2" applyFont="1" applyFill="1"/>
    <xf numFmtId="0" fontId="47" fillId="13" borderId="0" xfId="2" applyFont="1" applyFill="1"/>
    <xf numFmtId="0" fontId="41" fillId="13" borderId="27" xfId="2" applyFont="1" applyFill="1" applyBorder="1"/>
    <xf numFmtId="0" fontId="41" fillId="13" borderId="28" xfId="2" applyFont="1" applyFill="1" applyBorder="1"/>
    <xf numFmtId="164" fontId="45" fillId="13" borderId="39" xfId="2" applyNumberFormat="1" applyFont="1" applyFill="1" applyBorder="1"/>
    <xf numFmtId="0" fontId="40" fillId="13" borderId="29" xfId="2" applyFont="1" applyFill="1" applyBorder="1"/>
    <xf numFmtId="0" fontId="41" fillId="9" borderId="22" xfId="2" applyFont="1" applyFill="1" applyBorder="1"/>
    <xf numFmtId="0" fontId="40" fillId="9" borderId="23" xfId="2" applyFont="1" applyFill="1" applyBorder="1"/>
    <xf numFmtId="0" fontId="40" fillId="9" borderId="24" xfId="2" applyFont="1" applyFill="1" applyBorder="1"/>
    <xf numFmtId="0" fontId="40" fillId="9" borderId="25" xfId="2" applyFont="1" applyFill="1" applyBorder="1"/>
    <xf numFmtId="0" fontId="40" fillId="9" borderId="0" xfId="2" applyFont="1" applyFill="1"/>
    <xf numFmtId="0" fontId="40" fillId="9" borderId="26" xfId="2" applyFont="1" applyFill="1" applyBorder="1"/>
    <xf numFmtId="0" fontId="53" fillId="9" borderId="25" xfId="2" applyFont="1" applyFill="1" applyBorder="1"/>
    <xf numFmtId="0" fontId="45" fillId="9" borderId="0" xfId="2" applyFont="1" applyFill="1" applyAlignment="1">
      <alignment horizontal="center"/>
    </xf>
    <xf numFmtId="0" fontId="41" fillId="9" borderId="0" xfId="2" applyFont="1" applyFill="1"/>
    <xf numFmtId="164" fontId="47" fillId="12" borderId="0" xfId="2" applyNumberFormat="1" applyFont="1" applyFill="1" applyAlignment="1">
      <alignment horizontal="right"/>
    </xf>
    <xf numFmtId="164" fontId="47" fillId="9" borderId="0" xfId="2" applyNumberFormat="1" applyFont="1" applyFill="1" applyAlignment="1">
      <alignment horizontal="center"/>
    </xf>
    <xf numFmtId="164" fontId="45" fillId="9" borderId="12" xfId="2" applyNumberFormat="1" applyFont="1" applyFill="1" applyBorder="1" applyAlignment="1">
      <alignment horizontal="center"/>
    </xf>
    <xf numFmtId="0" fontId="41" fillId="12" borderId="27" xfId="2" applyFont="1" applyFill="1" applyBorder="1"/>
    <xf numFmtId="164" fontId="41" fillId="12" borderId="39" xfId="2" applyNumberFormat="1" applyFont="1" applyFill="1" applyBorder="1"/>
    <xf numFmtId="0" fontId="40" fillId="12" borderId="28" xfId="2" applyFont="1" applyFill="1" applyBorder="1"/>
    <xf numFmtId="0" fontId="41" fillId="12" borderId="28" xfId="2" applyFont="1" applyFill="1" applyBorder="1"/>
    <xf numFmtId="0" fontId="40" fillId="12" borderId="29" xfId="2" applyFont="1" applyFill="1" applyBorder="1"/>
    <xf numFmtId="164" fontId="41" fillId="9" borderId="0" xfId="2" applyNumberFormat="1" applyFont="1" applyFill="1"/>
    <xf numFmtId="0" fontId="40" fillId="9" borderId="0" xfId="2" applyFont="1" applyFill="1" applyAlignment="1">
      <alignment horizontal="center"/>
    </xf>
    <xf numFmtId="164" fontId="54" fillId="9" borderId="0" xfId="2" applyNumberFormat="1" applyFont="1" applyFill="1" applyAlignment="1">
      <alignment horizontal="center"/>
    </xf>
    <xf numFmtId="164" fontId="40" fillId="9" borderId="0" xfId="2" applyNumberFormat="1" applyFont="1" applyFill="1"/>
    <xf numFmtId="0" fontId="54" fillId="9" borderId="0" xfId="2" applyFont="1" applyFill="1"/>
    <xf numFmtId="164" fontId="40" fillId="0" borderId="17" xfId="2" applyNumberFormat="1" applyFont="1" applyBorder="1"/>
    <xf numFmtId="0" fontId="54" fillId="9" borderId="0" xfId="2" applyFont="1" applyFill="1" applyAlignment="1">
      <alignment horizontal="center"/>
    </xf>
    <xf numFmtId="0" fontId="40" fillId="0" borderId="19" xfId="2" applyFont="1" applyBorder="1"/>
    <xf numFmtId="0" fontId="40" fillId="0" borderId="18" xfId="2" applyFont="1" applyBorder="1" applyAlignment="1">
      <alignment horizontal="right"/>
    </xf>
    <xf numFmtId="164" fontId="40" fillId="9" borderId="0" xfId="2" applyNumberFormat="1" applyFont="1" applyFill="1" applyAlignment="1">
      <alignment horizontal="center"/>
    </xf>
    <xf numFmtId="0" fontId="40" fillId="9" borderId="27" xfId="2" applyFont="1" applyFill="1" applyBorder="1"/>
    <xf numFmtId="164" fontId="40" fillId="9" borderId="28" xfId="2" applyNumberFormat="1" applyFont="1" applyFill="1" applyBorder="1"/>
    <xf numFmtId="164" fontId="40" fillId="9" borderId="28" xfId="2" applyNumberFormat="1" applyFont="1" applyFill="1" applyBorder="1" applyAlignment="1">
      <alignment horizontal="center"/>
    </xf>
    <xf numFmtId="0" fontId="40" fillId="9" borderId="28" xfId="2" applyFont="1" applyFill="1" applyBorder="1"/>
    <xf numFmtId="0" fontId="40" fillId="9" borderId="29" xfId="2" applyFont="1" applyFill="1" applyBorder="1"/>
    <xf numFmtId="0" fontId="40" fillId="0" borderId="0" xfId="2" applyFont="1" applyAlignment="1">
      <alignment horizontal="center"/>
    </xf>
    <xf numFmtId="0" fontId="5" fillId="0" borderId="0" xfId="2" applyFont="1"/>
    <xf numFmtId="0" fontId="17" fillId="0" borderId="0" xfId="2" applyFont="1" applyAlignment="1">
      <alignment horizontal="center"/>
    </xf>
    <xf numFmtId="0" fontId="2" fillId="5" borderId="0" xfId="2" applyFont="1" applyFill="1" applyAlignment="1">
      <alignment horizontal="center"/>
    </xf>
    <xf numFmtId="0" fontId="40" fillId="0" borderId="0" xfId="2" applyFont="1" applyAlignment="1">
      <alignment horizontal="left"/>
    </xf>
    <xf numFmtId="164" fontId="47" fillId="0" borderId="12" xfId="2" applyNumberFormat="1" applyFont="1" applyBorder="1"/>
    <xf numFmtId="164" fontId="55" fillId="5" borderId="12" xfId="2" applyNumberFormat="1" applyFont="1" applyFill="1" applyBorder="1"/>
    <xf numFmtId="0" fontId="56" fillId="0" borderId="0" xfId="0" applyFont="1"/>
    <xf numFmtId="0" fontId="56" fillId="14" borderId="0" xfId="0" applyFont="1" applyFill="1"/>
    <xf numFmtId="0" fontId="3" fillId="14" borderId="0" xfId="0" applyFont="1" applyFill="1"/>
    <xf numFmtId="3" fontId="3" fillId="0" borderId="0" xfId="0" applyNumberFormat="1" applyFont="1"/>
    <xf numFmtId="37" fontId="3" fillId="0" borderId="0" xfId="0" applyNumberFormat="1" applyFont="1"/>
    <xf numFmtId="37" fontId="3" fillId="0" borderId="21" xfId="0" applyNumberFormat="1" applyFont="1" applyBorder="1"/>
    <xf numFmtId="37" fontId="3" fillId="0" borderId="0" xfId="0" applyNumberFormat="1" applyFont="1" applyAlignment="1">
      <alignment horizontal="center"/>
    </xf>
    <xf numFmtId="37" fontId="3" fillId="0" borderId="21" xfId="0" applyNumberFormat="1" applyFont="1" applyBorder="1" applyAlignment="1">
      <alignment horizontal="center"/>
    </xf>
    <xf numFmtId="9" fontId="3" fillId="0" borderId="0" xfId="0" applyNumberFormat="1" applyFont="1"/>
    <xf numFmtId="0" fontId="56" fillId="0" borderId="20" xfId="0" applyFont="1" applyBorder="1"/>
    <xf numFmtId="0" fontId="57" fillId="0" borderId="0" xfId="0" applyFont="1"/>
    <xf numFmtId="0" fontId="3" fillId="0" borderId="24" xfId="0" applyFont="1" applyBorder="1"/>
    <xf numFmtId="0" fontId="3" fillId="0" borderId="25" xfId="0" applyFont="1" applyBorder="1"/>
    <xf numFmtId="37" fontId="3" fillId="0" borderId="26" xfId="0" applyNumberFormat="1" applyFont="1" applyBorder="1"/>
    <xf numFmtId="37" fontId="3" fillId="0" borderId="41" xfId="0" applyNumberFormat="1" applyFont="1" applyBorder="1"/>
    <xf numFmtId="0" fontId="3" fillId="0" borderId="27" xfId="0" applyFont="1" applyBorder="1"/>
    <xf numFmtId="0" fontId="3" fillId="0" borderId="28" xfId="0" applyFont="1" applyBorder="1"/>
    <xf numFmtId="37" fontId="3" fillId="0" borderId="42" xfId="0" applyNumberFormat="1" applyFont="1" applyBorder="1"/>
    <xf numFmtId="0" fontId="56" fillId="0" borderId="22" xfId="0" applyFont="1" applyBorder="1"/>
    <xf numFmtId="0" fontId="56" fillId="0" borderId="23" xfId="0" applyFont="1" applyBorder="1"/>
    <xf numFmtId="14" fontId="3" fillId="0" borderId="16" xfId="0" applyNumberFormat="1" applyFont="1" applyBorder="1"/>
    <xf numFmtId="14" fontId="3" fillId="0" borderId="28" xfId="0" applyNumberFormat="1" applyFont="1" applyBorder="1"/>
    <xf numFmtId="0" fontId="56" fillId="5" borderId="0" xfId="0" applyFont="1" applyFill="1"/>
    <xf numFmtId="0" fontId="56" fillId="5" borderId="25" xfId="0" applyFont="1" applyFill="1" applyBorder="1"/>
    <xf numFmtId="0" fontId="56" fillId="5" borderId="23" xfId="0" applyFont="1" applyFill="1" applyBorder="1"/>
    <xf numFmtId="0" fontId="4" fillId="12" borderId="0" xfId="0" applyFont="1" applyFill="1"/>
    <xf numFmtId="37" fontId="2" fillId="0" borderId="0" xfId="0" applyNumberFormat="1" applyFont="1" applyAlignment="1">
      <alignment horizontal="center"/>
    </xf>
    <xf numFmtId="0" fontId="8" fillId="0" borderId="0" xfId="0" applyFont="1"/>
    <xf numFmtId="0" fontId="4" fillId="15" borderId="0" xfId="0" applyFont="1" applyFill="1"/>
    <xf numFmtId="0" fontId="2" fillId="15" borderId="0" xfId="0" applyFont="1" applyFill="1"/>
    <xf numFmtId="37" fontId="14" fillId="5" borderId="0" xfId="0" applyNumberFormat="1" applyFont="1" applyFill="1" applyAlignment="1">
      <alignment horizontal="center"/>
    </xf>
    <xf numFmtId="0" fontId="2" fillId="0" borderId="0" xfId="0" applyFont="1" applyAlignment="1">
      <alignment readingOrder="2"/>
    </xf>
    <xf numFmtId="37" fontId="14" fillId="0" borderId="21" xfId="0" applyNumberFormat="1" applyFont="1" applyBorder="1" applyAlignment="1">
      <alignment horizontal="center"/>
    </xf>
    <xf numFmtId="37" fontId="14" fillId="5" borderId="21" xfId="0" applyNumberFormat="1" applyFont="1" applyFill="1" applyBorder="1" applyAlignment="1">
      <alignment horizontal="center"/>
    </xf>
    <xf numFmtId="0" fontId="20" fillId="0" borderId="0" xfId="0" applyFont="1" applyAlignment="1">
      <alignment horizontal="center"/>
    </xf>
    <xf numFmtId="0" fontId="3" fillId="0" borderId="26" xfId="0" applyFont="1" applyBorder="1" applyAlignment="1">
      <alignment horizontal="center"/>
    </xf>
    <xf numFmtId="0" fontId="3" fillId="0" borderId="29" xfId="0" applyFont="1" applyBorder="1" applyAlignment="1">
      <alignment horizontal="center"/>
    </xf>
    <xf numFmtId="0" fontId="57" fillId="0" borderId="22" xfId="0" applyFont="1" applyBorder="1"/>
    <xf numFmtId="0" fontId="57" fillId="0" borderId="25" xfId="0" applyFont="1" applyBorder="1"/>
    <xf numFmtId="0" fontId="57" fillId="0" borderId="26" xfId="0" applyFont="1" applyBorder="1" applyAlignment="1">
      <alignment horizontal="center"/>
    </xf>
    <xf numFmtId="0" fontId="57" fillId="0" borderId="24" xfId="0" applyFont="1" applyBorder="1"/>
    <xf numFmtId="0" fontId="57" fillId="0" borderId="27" xfId="0" applyFont="1" applyBorder="1"/>
    <xf numFmtId="0" fontId="57" fillId="0" borderId="29" xfId="0" applyFont="1" applyBorder="1" applyAlignment="1">
      <alignment horizontal="center"/>
    </xf>
    <xf numFmtId="0" fontId="4" fillId="14" borderId="0" xfId="0" applyFont="1" applyFill="1"/>
    <xf numFmtId="3" fontId="4" fillId="5" borderId="0" xfId="0" applyNumberFormat="1" applyFont="1" applyFill="1" applyAlignment="1">
      <alignment horizontal="center"/>
    </xf>
    <xf numFmtId="0" fontId="57" fillId="0" borderId="0" xfId="0" applyFont="1" applyAlignment="1">
      <alignment horizontal="center"/>
    </xf>
    <xf numFmtId="0" fontId="9" fillId="0" borderId="0" xfId="0" applyFont="1"/>
    <xf numFmtId="37" fontId="9" fillId="0" borderId="0" xfId="0" applyNumberFormat="1" applyFont="1" applyAlignment="1">
      <alignment horizontal="center"/>
    </xf>
    <xf numFmtId="37" fontId="9" fillId="0" borderId="21" xfId="0" applyNumberFormat="1" applyFont="1" applyBorder="1" applyAlignment="1">
      <alignment horizontal="center"/>
    </xf>
    <xf numFmtId="0" fontId="9" fillId="0" borderId="20" xfId="0" applyFont="1" applyBorder="1"/>
    <xf numFmtId="0" fontId="9" fillId="0" borderId="20" xfId="0" applyFont="1" applyBorder="1" applyAlignment="1">
      <alignment horizontal="center"/>
    </xf>
    <xf numFmtId="14" fontId="2" fillId="0" borderId="0" xfId="0" applyNumberFormat="1" applyFont="1"/>
    <xf numFmtId="0" fontId="5" fillId="5" borderId="0" xfId="0" applyFont="1" applyFill="1"/>
    <xf numFmtId="3" fontId="17" fillId="0" borderId="0" xfId="0" applyNumberFormat="1" applyFont="1" applyAlignment="1">
      <alignment horizontal="center"/>
    </xf>
    <xf numFmtId="3" fontId="17" fillId="16" borderId="0" xfId="0" applyNumberFormat="1" applyFont="1" applyFill="1" applyAlignment="1">
      <alignment horizontal="center"/>
    </xf>
    <xf numFmtId="0" fontId="17" fillId="16" borderId="0" xfId="0" applyFont="1" applyFill="1" applyAlignment="1">
      <alignment horizontal="center"/>
    </xf>
    <xf numFmtId="3" fontId="5" fillId="5" borderId="0" xfId="0" applyNumberFormat="1" applyFont="1" applyFill="1" applyAlignment="1">
      <alignment horizontal="center"/>
    </xf>
    <xf numFmtId="37" fontId="17" fillId="0" borderId="0" xfId="0" applyNumberFormat="1" applyFont="1"/>
    <xf numFmtId="37" fontId="17" fillId="0" borderId="21" xfId="0" applyNumberFormat="1" applyFont="1" applyBorder="1"/>
    <xf numFmtId="0" fontId="17" fillId="0" borderId="21" xfId="0" applyFont="1" applyBorder="1"/>
    <xf numFmtId="37" fontId="17" fillId="5" borderId="0" xfId="0" applyNumberFormat="1" applyFont="1" applyFill="1"/>
    <xf numFmtId="0" fontId="17" fillId="5" borderId="0" xfId="0" applyFont="1" applyFill="1"/>
    <xf numFmtId="0" fontId="17" fillId="0" borderId="0" xfId="0" applyFont="1" applyAlignment="1">
      <alignment horizontal="center"/>
    </xf>
    <xf numFmtId="37" fontId="17" fillId="0" borderId="0" xfId="0" applyNumberFormat="1" applyFont="1" applyAlignment="1">
      <alignment horizontal="center"/>
    </xf>
    <xf numFmtId="0" fontId="17" fillId="0" borderId="20" xfId="0" applyFont="1" applyBorder="1" applyAlignment="1">
      <alignment horizontal="center"/>
    </xf>
    <xf numFmtId="0" fontId="5" fillId="0" borderId="0" xfId="0" applyFont="1" applyAlignment="1">
      <alignment horizontal="center"/>
    </xf>
    <xf numFmtId="0" fontId="5" fillId="0" borderId="20" xfId="0" applyFont="1" applyBorder="1" applyAlignment="1">
      <alignment horizontal="center"/>
    </xf>
    <xf numFmtId="0" fontId="5" fillId="0" borderId="43" xfId="0" applyFont="1" applyBorder="1" applyAlignment="1">
      <alignment horizontal="center"/>
    </xf>
    <xf numFmtId="3" fontId="17" fillId="0" borderId="21" xfId="0" applyNumberFormat="1" applyFont="1" applyBorder="1"/>
    <xf numFmtId="37" fontId="17" fillId="0" borderId="21" xfId="0" applyNumberFormat="1" applyFont="1" applyBorder="1" applyAlignment="1">
      <alignment horizontal="center"/>
    </xf>
    <xf numFmtId="37" fontId="17" fillId="17" borderId="0" xfId="0" applyNumberFormat="1" applyFont="1" applyFill="1" applyAlignment="1">
      <alignment horizontal="center"/>
    </xf>
    <xf numFmtId="37" fontId="17" fillId="17" borderId="21" xfId="0" applyNumberFormat="1" applyFont="1" applyFill="1" applyBorder="1" applyAlignment="1">
      <alignment horizontal="center"/>
    </xf>
    <xf numFmtId="3" fontId="17" fillId="0" borderId="21" xfId="0" applyNumberFormat="1" applyFont="1" applyBorder="1" applyAlignment="1">
      <alignment horizontal="center"/>
    </xf>
    <xf numFmtId="0" fontId="5" fillId="0" borderId="22" xfId="0" applyFont="1" applyBorder="1"/>
    <xf numFmtId="0" fontId="5" fillId="0" borderId="23" xfId="0" applyFont="1" applyBorder="1"/>
    <xf numFmtId="0" fontId="5" fillId="0" borderId="24" xfId="0" applyFont="1" applyBorder="1"/>
    <xf numFmtId="0" fontId="17" fillId="0" borderId="25" xfId="0" applyFont="1" applyBorder="1"/>
    <xf numFmtId="0" fontId="17" fillId="0" borderId="26" xfId="0" applyFont="1" applyBorder="1"/>
    <xf numFmtId="0" fontId="17" fillId="0" borderId="27" xfId="0" applyFont="1" applyBorder="1"/>
    <xf numFmtId="0" fontId="5" fillId="14" borderId="0" xfId="0" applyFont="1" applyFill="1"/>
    <xf numFmtId="0" fontId="17" fillId="14" borderId="0" xfId="0" applyFont="1" applyFill="1"/>
    <xf numFmtId="0" fontId="17" fillId="0" borderId="28" xfId="0" applyFont="1" applyBorder="1"/>
    <xf numFmtId="0" fontId="17" fillId="0" borderId="29" xfId="0" applyFont="1" applyBorder="1"/>
    <xf numFmtId="14" fontId="17" fillId="0" borderId="20" xfId="0" applyNumberFormat="1" applyFont="1" applyBorder="1"/>
    <xf numFmtId="0" fontId="17" fillId="0" borderId="33" xfId="0" applyFont="1" applyBorder="1" applyAlignment="1">
      <alignment horizontal="right"/>
    </xf>
    <xf numFmtId="14" fontId="17" fillId="0" borderId="20" xfId="0" applyNumberFormat="1" applyFont="1" applyBorder="1" applyAlignment="1">
      <alignment horizontal="center"/>
    </xf>
    <xf numFmtId="37" fontId="17" fillId="0" borderId="33" xfId="0" applyNumberFormat="1" applyFont="1" applyBorder="1" applyAlignment="1">
      <alignment horizontal="center"/>
    </xf>
    <xf numFmtId="0" fontId="17" fillId="0" borderId="33" xfId="0" applyFont="1" applyBorder="1" applyAlignment="1">
      <alignment horizontal="center"/>
    </xf>
    <xf numFmtId="0" fontId="59" fillId="0" borderId="0" xfId="0" applyFont="1"/>
    <xf numFmtId="0" fontId="60" fillId="0" borderId="0" xfId="0" applyFont="1"/>
    <xf numFmtId="3" fontId="17" fillId="5" borderId="0" xfId="0" applyNumberFormat="1" applyFont="1" applyFill="1"/>
    <xf numFmtId="0" fontId="17" fillId="0" borderId="20" xfId="0" applyFont="1" applyBorder="1"/>
    <xf numFmtId="0" fontId="17" fillId="0" borderId="0" xfId="0" applyFont="1" applyAlignment="1">
      <alignment horizontal="right"/>
    </xf>
    <xf numFmtId="3" fontId="17" fillId="18" borderId="0" xfId="0" applyNumberFormat="1" applyFont="1" applyFill="1"/>
    <xf numFmtId="3" fontId="5" fillId="0" borderId="33" xfId="0" applyNumberFormat="1" applyFont="1" applyBorder="1"/>
    <xf numFmtId="3" fontId="17" fillId="11" borderId="0" xfId="0" applyNumberFormat="1" applyFont="1" applyFill="1"/>
    <xf numFmtId="0" fontId="5" fillId="15" borderId="0" xfId="0" applyFont="1" applyFill="1"/>
    <xf numFmtId="0" fontId="17" fillId="0" borderId="33" xfId="0" applyFont="1" applyBorder="1" applyAlignment="1">
      <alignment wrapText="1"/>
    </xf>
    <xf numFmtId="14" fontId="17" fillId="0" borderId="33" xfId="0" applyNumberFormat="1" applyFont="1" applyBorder="1"/>
    <xf numFmtId="0" fontId="17" fillId="6" borderId="33" xfId="0" applyFont="1" applyFill="1" applyBorder="1"/>
    <xf numFmtId="3" fontId="17" fillId="5" borderId="33" xfId="0" applyNumberFormat="1" applyFont="1" applyFill="1" applyBorder="1"/>
    <xf numFmtId="0" fontId="5" fillId="0" borderId="33" xfId="0" applyFont="1" applyBorder="1" applyAlignment="1">
      <alignment wrapText="1"/>
    </xf>
    <xf numFmtId="0" fontId="5" fillId="6" borderId="33" xfId="0" applyFont="1" applyFill="1" applyBorder="1"/>
    <xf numFmtId="14" fontId="5" fillId="5" borderId="33" xfId="0" applyNumberFormat="1" applyFont="1" applyFill="1" applyBorder="1"/>
    <xf numFmtId="3" fontId="5" fillId="5" borderId="33" xfId="0" applyNumberFormat="1" applyFont="1" applyFill="1" applyBorder="1"/>
    <xf numFmtId="14" fontId="5" fillId="0" borderId="33" xfId="0" applyNumberFormat="1" applyFont="1" applyBorder="1"/>
    <xf numFmtId="0" fontId="17" fillId="0" borderId="44" xfId="0" applyFont="1" applyBorder="1" applyAlignment="1">
      <alignment horizontal="right"/>
    </xf>
    <xf numFmtId="0" fontId="17" fillId="0" borderId="45" xfId="0" applyFont="1" applyBorder="1" applyAlignment="1">
      <alignment horizontal="right"/>
    </xf>
    <xf numFmtId="0" fontId="17" fillId="7" borderId="33" xfId="0" applyFont="1" applyFill="1" applyBorder="1" applyAlignment="1">
      <alignment horizontal="center"/>
    </xf>
    <xf numFmtId="0" fontId="4" fillId="0" borderId="15" xfId="0" applyFont="1" applyBorder="1"/>
    <xf numFmtId="14" fontId="2" fillId="0" borderId="0" xfId="0" applyNumberFormat="1" applyFont="1" applyAlignment="1">
      <alignment horizontal="center"/>
    </xf>
    <xf numFmtId="37" fontId="2" fillId="0" borderId="21" xfId="0" applyNumberFormat="1" applyFont="1" applyBorder="1" applyAlignment="1">
      <alignment horizontal="center"/>
    </xf>
    <xf numFmtId="0" fontId="5" fillId="16" borderId="14" xfId="0" applyFont="1" applyFill="1" applyBorder="1"/>
    <xf numFmtId="0" fontId="5" fillId="16" borderId="15" xfId="0" applyFont="1" applyFill="1" applyBorder="1"/>
    <xf numFmtId="0" fontId="5" fillId="16" borderId="16" xfId="0" applyFont="1" applyFill="1" applyBorder="1"/>
    <xf numFmtId="0" fontId="17" fillId="16" borderId="14" xfId="0" applyFont="1" applyFill="1" applyBorder="1"/>
    <xf numFmtId="0" fontId="17" fillId="16" borderId="15" xfId="0" applyFont="1" applyFill="1" applyBorder="1"/>
    <xf numFmtId="0" fontId="0" fillId="16" borderId="16" xfId="0" applyFill="1" applyBorder="1"/>
    <xf numFmtId="0" fontId="5" fillId="0" borderId="20" xfId="0" applyFont="1" applyBorder="1" applyAlignment="1">
      <alignment horizontal="right"/>
    </xf>
    <xf numFmtId="0" fontId="5" fillId="0" borderId="20" xfId="0" applyFont="1" applyBorder="1"/>
    <xf numFmtId="3" fontId="17" fillId="5" borderId="21" xfId="0" applyNumberFormat="1" applyFont="1" applyFill="1" applyBorder="1"/>
    <xf numFmtId="0" fontId="62" fillId="0" borderId="0" xfId="0" applyFont="1" applyAlignment="1">
      <alignment horizontal="center"/>
    </xf>
    <xf numFmtId="0" fontId="5" fillId="19" borderId="0" xfId="0" applyFont="1" applyFill="1"/>
    <xf numFmtId="0" fontId="17" fillId="19" borderId="0" xfId="0" applyFont="1" applyFill="1"/>
    <xf numFmtId="0" fontId="0" fillId="0" borderId="16" xfId="0" applyBorder="1"/>
    <xf numFmtId="37" fontId="6" fillId="0" borderId="0" xfId="0" applyNumberFormat="1" applyFont="1" applyAlignment="1">
      <alignment horizontal="center"/>
    </xf>
    <xf numFmtId="0" fontId="17" fillId="6" borderId="0" xfId="0" applyFont="1" applyFill="1" applyAlignment="1">
      <alignment horizontal="center"/>
    </xf>
    <xf numFmtId="0" fontId="17" fillId="6" borderId="0" xfId="0" applyFont="1" applyFill="1"/>
    <xf numFmtId="37" fontId="17" fillId="5" borderId="0" xfId="0" applyNumberFormat="1" applyFont="1" applyFill="1" applyAlignment="1">
      <alignment horizontal="center"/>
    </xf>
    <xf numFmtId="0" fontId="2" fillId="7" borderId="22" xfId="0" applyFont="1" applyFill="1" applyBorder="1"/>
    <xf numFmtId="0" fontId="2" fillId="7" borderId="23" xfId="0" applyFont="1" applyFill="1" applyBorder="1"/>
    <xf numFmtId="0" fontId="2" fillId="7" borderId="23" xfId="0" applyFont="1" applyFill="1" applyBorder="1" applyAlignment="1">
      <alignment horizontal="center"/>
    </xf>
    <xf numFmtId="0" fontId="2" fillId="7" borderId="24" xfId="0" applyFont="1" applyFill="1" applyBorder="1"/>
    <xf numFmtId="0" fontId="2" fillId="7" borderId="27" xfId="0" applyFont="1" applyFill="1" applyBorder="1"/>
    <xf numFmtId="0" fontId="2" fillId="7" borderId="28" xfId="0" applyFont="1" applyFill="1" applyBorder="1"/>
    <xf numFmtId="37" fontId="2" fillId="7" borderId="28" xfId="0" applyNumberFormat="1" applyFont="1" applyFill="1" applyBorder="1" applyAlignment="1">
      <alignment horizontal="center"/>
    </xf>
    <xf numFmtId="0" fontId="2" fillId="7" borderId="29" xfId="0" applyFont="1" applyFill="1" applyBorder="1"/>
    <xf numFmtId="0" fontId="2" fillId="0" borderId="23" xfId="0" applyFont="1" applyBorder="1" applyAlignment="1">
      <alignment horizontal="center"/>
    </xf>
    <xf numFmtId="37" fontId="2" fillId="0" borderId="28" xfId="0" applyNumberFormat="1" applyFont="1" applyBorder="1" applyAlignment="1">
      <alignment horizontal="center"/>
    </xf>
    <xf numFmtId="0" fontId="2" fillId="0" borderId="28" xfId="0" applyFont="1" applyBorder="1" applyAlignment="1">
      <alignment horizontal="center"/>
    </xf>
    <xf numFmtId="37" fontId="2" fillId="0" borderId="23" xfId="0" applyNumberFormat="1" applyFont="1" applyBorder="1" applyAlignment="1">
      <alignment horizontal="center"/>
    </xf>
    <xf numFmtId="37" fontId="2" fillId="7" borderId="23" xfId="0" applyNumberFormat="1" applyFont="1" applyFill="1" applyBorder="1" applyAlignment="1">
      <alignment horizontal="center"/>
    </xf>
    <xf numFmtId="0" fontId="2" fillId="7" borderId="28" xfId="0" applyFont="1" applyFill="1" applyBorder="1" applyAlignment="1">
      <alignment horizontal="center"/>
    </xf>
    <xf numFmtId="14" fontId="2" fillId="0" borderId="23" xfId="0" applyNumberFormat="1" applyFont="1" applyBorder="1" applyAlignment="1">
      <alignment horizontal="center"/>
    </xf>
    <xf numFmtId="0" fontId="17" fillId="5" borderId="0" xfId="0" applyFont="1" applyFill="1" applyAlignment="1">
      <alignment horizontal="center"/>
    </xf>
    <xf numFmtId="37" fontId="6" fillId="7" borderId="28" xfId="0" applyNumberFormat="1" applyFont="1" applyFill="1" applyBorder="1" applyAlignment="1">
      <alignment horizontal="center"/>
    </xf>
    <xf numFmtId="0" fontId="3" fillId="5" borderId="0" xfId="0" applyFont="1" applyFill="1"/>
    <xf numFmtId="0" fontId="3" fillId="0" borderId="22" xfId="0" applyFont="1" applyBorder="1"/>
    <xf numFmtId="0" fontId="3" fillId="0" borderId="23" xfId="0" applyFont="1" applyBorder="1"/>
    <xf numFmtId="0" fontId="3" fillId="0" borderId="26" xfId="0" applyFont="1" applyBorder="1"/>
    <xf numFmtId="0" fontId="3" fillId="0" borderId="29" xfId="0" applyFont="1" applyBorder="1"/>
    <xf numFmtId="14" fontId="56" fillId="0" borderId="0" xfId="0" applyNumberFormat="1" applyFont="1" applyAlignment="1">
      <alignment horizontal="center"/>
    </xf>
    <xf numFmtId="14" fontId="3" fillId="0" borderId="20" xfId="0" applyNumberFormat="1" applyFont="1" applyBorder="1" applyAlignment="1">
      <alignment horizontal="center"/>
    </xf>
    <xf numFmtId="14" fontId="3" fillId="0" borderId="0" xfId="0" applyNumberFormat="1" applyFont="1" applyAlignment="1">
      <alignment horizontal="center"/>
    </xf>
    <xf numFmtId="37" fontId="3" fillId="0" borderId="46" xfId="0" applyNumberFormat="1" applyFont="1" applyBorder="1" applyAlignment="1">
      <alignment horizontal="center"/>
    </xf>
    <xf numFmtId="0" fontId="56" fillId="16" borderId="0" xfId="0" applyFont="1" applyFill="1"/>
    <xf numFmtId="0" fontId="3" fillId="0" borderId="0" xfId="0" applyFont="1" applyAlignment="1">
      <alignment horizontal="center"/>
    </xf>
    <xf numFmtId="14" fontId="56" fillId="0" borderId="20" xfId="0" applyNumberFormat="1" applyFont="1" applyBorder="1" applyAlignment="1">
      <alignment horizontal="center"/>
    </xf>
    <xf numFmtId="0" fontId="3" fillId="0" borderId="21" xfId="0" applyFont="1" applyBorder="1" applyAlignment="1">
      <alignment horizontal="center"/>
    </xf>
    <xf numFmtId="0" fontId="56" fillId="0" borderId="20" xfId="0" applyFont="1" applyBorder="1" applyAlignment="1">
      <alignment horizontal="center"/>
    </xf>
    <xf numFmtId="0" fontId="56" fillId="7" borderId="0" xfId="0" applyFont="1" applyFill="1"/>
    <xf numFmtId="0" fontId="3" fillId="7" borderId="0" xfId="0" applyFont="1" applyFill="1"/>
    <xf numFmtId="14" fontId="56" fillId="7" borderId="0" xfId="0" applyNumberFormat="1" applyFont="1" applyFill="1" applyAlignment="1">
      <alignment horizontal="center"/>
    </xf>
    <xf numFmtId="0" fontId="56" fillId="7" borderId="0" xfId="0" applyFont="1" applyFill="1" applyAlignment="1">
      <alignment horizontal="center"/>
    </xf>
    <xf numFmtId="37" fontId="3" fillId="7" borderId="0" xfId="0" applyNumberFormat="1" applyFont="1" applyFill="1" applyAlignment="1">
      <alignment horizontal="center"/>
    </xf>
    <xf numFmtId="0" fontId="3" fillId="7" borderId="0" xfId="0" applyFont="1" applyFill="1" applyAlignment="1">
      <alignment horizontal="center"/>
    </xf>
    <xf numFmtId="37" fontId="63" fillId="7" borderId="0" xfId="0" applyNumberFormat="1" applyFont="1" applyFill="1" applyAlignment="1">
      <alignment horizontal="center"/>
    </xf>
    <xf numFmtId="37" fontId="64" fillId="0" borderId="0" xfId="0" applyNumberFormat="1" applyFont="1" applyAlignment="1">
      <alignment horizontal="center"/>
    </xf>
    <xf numFmtId="37" fontId="56" fillId="0" borderId="0" xfId="0" applyNumberFormat="1" applyFont="1"/>
    <xf numFmtId="37" fontId="56" fillId="0" borderId="21" xfId="0" applyNumberFormat="1" applyFont="1" applyBorder="1"/>
    <xf numFmtId="0" fontId="65" fillId="0" borderId="0" xfId="0" applyFont="1"/>
    <xf numFmtId="37" fontId="3" fillId="0" borderId="0" xfId="0" applyNumberFormat="1" applyFont="1" applyAlignment="1">
      <alignment horizontal="right"/>
    </xf>
    <xf numFmtId="37" fontId="56" fillId="7" borderId="0" xfId="0" applyNumberFormat="1" applyFont="1" applyFill="1" applyAlignment="1">
      <alignment horizontal="center"/>
    </xf>
    <xf numFmtId="37" fontId="66" fillId="7" borderId="0" xfId="0" applyNumberFormat="1" applyFont="1" applyFill="1" applyAlignment="1">
      <alignment horizontal="center"/>
    </xf>
    <xf numFmtId="14" fontId="3" fillId="0" borderId="0" xfId="0" applyNumberFormat="1" applyFont="1"/>
    <xf numFmtId="0" fontId="9" fillId="7" borderId="0" xfId="0" applyFont="1" applyFill="1" applyAlignment="1">
      <alignment horizontal="center"/>
    </xf>
    <xf numFmtId="37" fontId="9" fillId="7" borderId="0" xfId="0" applyNumberFormat="1" applyFont="1" applyFill="1" applyAlignment="1">
      <alignment horizontal="center"/>
    </xf>
    <xf numFmtId="0" fontId="9" fillId="0" borderId="0" xfId="0" applyFont="1" applyAlignment="1">
      <alignment horizontal="center"/>
    </xf>
    <xf numFmtId="0" fontId="56" fillId="0" borderId="25" xfId="0" applyFont="1" applyBorder="1"/>
    <xf numFmtId="0" fontId="65" fillId="0" borderId="25" xfId="0" applyFont="1" applyBorder="1"/>
    <xf numFmtId="0" fontId="56" fillId="0" borderId="27" xfId="0" applyFont="1" applyBorder="1"/>
    <xf numFmtId="0" fontId="56" fillId="0" borderId="28" xfId="0" applyFont="1" applyBorder="1"/>
    <xf numFmtId="37" fontId="56" fillId="0" borderId="47" xfId="0" applyNumberFormat="1" applyFont="1" applyBorder="1"/>
    <xf numFmtId="0" fontId="67" fillId="0" borderId="0" xfId="0" applyFont="1"/>
    <xf numFmtId="37" fontId="67" fillId="0" borderId="0" xfId="0" applyNumberFormat="1" applyFont="1" applyAlignment="1">
      <alignment horizontal="center"/>
    </xf>
    <xf numFmtId="37" fontId="68" fillId="7" borderId="0" xfId="0" applyNumberFormat="1" applyFont="1" applyFill="1" applyAlignment="1">
      <alignment horizontal="center"/>
    </xf>
    <xf numFmtId="37" fontId="9" fillId="5" borderId="0" xfId="0" applyNumberFormat="1" applyFont="1" applyFill="1" applyAlignment="1">
      <alignment horizontal="center"/>
    </xf>
    <xf numFmtId="37" fontId="9" fillId="20" borderId="21" xfId="0" applyNumberFormat="1" applyFont="1" applyFill="1" applyBorder="1" applyAlignment="1">
      <alignment horizontal="center"/>
    </xf>
    <xf numFmtId="0" fontId="3" fillId="13" borderId="22" xfId="0" applyFont="1" applyFill="1" applyBorder="1"/>
    <xf numFmtId="0" fontId="3" fillId="13" borderId="23" xfId="0" applyFont="1" applyFill="1" applyBorder="1"/>
    <xf numFmtId="0" fontId="3" fillId="13" borderId="24" xfId="0" applyFont="1" applyFill="1" applyBorder="1"/>
    <xf numFmtId="0" fontId="56" fillId="13" borderId="25" xfId="0" applyFont="1" applyFill="1" applyBorder="1"/>
    <xf numFmtId="0" fontId="3" fillId="13" borderId="0" xfId="0" applyFont="1" applyFill="1"/>
    <xf numFmtId="0" fontId="3" fillId="13" borderId="26" xfId="0" applyFont="1" applyFill="1" applyBorder="1"/>
    <xf numFmtId="0" fontId="56" fillId="13" borderId="27" xfId="0" applyFont="1" applyFill="1" applyBorder="1"/>
    <xf numFmtId="0" fontId="3" fillId="13" borderId="28" xfId="0" applyFont="1" applyFill="1" applyBorder="1"/>
    <xf numFmtId="0" fontId="3" fillId="13" borderId="29" xfId="0" applyFont="1" applyFill="1" applyBorder="1"/>
    <xf numFmtId="37" fontId="9" fillId="11" borderId="0" xfId="0" applyNumberFormat="1" applyFont="1" applyFill="1" applyAlignment="1">
      <alignment horizontal="center"/>
    </xf>
    <xf numFmtId="37" fontId="9" fillId="7" borderId="0" xfId="0" applyNumberFormat="1" applyFont="1" applyFill="1" applyAlignment="1">
      <alignment horizontal="right"/>
    </xf>
    <xf numFmtId="0" fontId="4" fillId="21" borderId="0" xfId="0" applyFont="1" applyFill="1"/>
    <xf numFmtId="0" fontId="2" fillId="21" borderId="0" xfId="0" applyFont="1" applyFill="1"/>
    <xf numFmtId="0" fontId="4" fillId="22" borderId="0" xfId="0" applyFont="1" applyFill="1"/>
    <xf numFmtId="0" fontId="26" fillId="0" borderId="0" xfId="0" applyFont="1" applyAlignment="1">
      <alignment horizontal="center"/>
    </xf>
    <xf numFmtId="0" fontId="36" fillId="0" borderId="0" xfId="0" applyFont="1" applyAlignment="1">
      <alignment horizontal="center"/>
    </xf>
    <xf numFmtId="0" fontId="24" fillId="0" borderId="0" xfId="0" applyFont="1" applyAlignment="1">
      <alignment horizontal="center"/>
    </xf>
    <xf numFmtId="0" fontId="2" fillId="5" borderId="0" xfId="0" applyFont="1" applyFill="1" applyAlignment="1">
      <alignment horizontal="center"/>
    </xf>
    <xf numFmtId="0" fontId="2" fillId="13" borderId="0" xfId="0" applyFont="1" applyFill="1" applyAlignment="1">
      <alignment horizontal="center"/>
    </xf>
    <xf numFmtId="0" fontId="2" fillId="9" borderId="0" xfId="0" applyFont="1" applyFill="1" applyAlignment="1">
      <alignment horizontal="center"/>
    </xf>
    <xf numFmtId="0" fontId="3" fillId="9" borderId="0" xfId="0" applyFont="1" applyFill="1"/>
    <xf numFmtId="37" fontId="2" fillId="9" borderId="21" xfId="0" applyNumberFormat="1" applyFont="1" applyFill="1" applyBorder="1" applyAlignment="1">
      <alignment horizontal="center"/>
    </xf>
    <xf numFmtId="37" fontId="2" fillId="16" borderId="21" xfId="0" applyNumberFormat="1" applyFont="1" applyFill="1" applyBorder="1" applyAlignment="1">
      <alignment horizontal="center"/>
    </xf>
    <xf numFmtId="37" fontId="2" fillId="5" borderId="21" xfId="0" applyNumberFormat="1" applyFont="1" applyFill="1" applyBorder="1" applyAlignment="1">
      <alignment horizontal="center"/>
    </xf>
    <xf numFmtId="0" fontId="2" fillId="0" borderId="48" xfId="0" applyFont="1" applyBorder="1" applyAlignment="1">
      <alignment horizontal="center"/>
    </xf>
    <xf numFmtId="0" fontId="8" fillId="0" borderId="0" xfId="0" applyFont="1" applyAlignment="1">
      <alignment horizontal="center"/>
    </xf>
    <xf numFmtId="0" fontId="64" fillId="0" borderId="0" xfId="0" applyFont="1"/>
    <xf numFmtId="37" fontId="64" fillId="0" borderId="0" xfId="0" applyNumberFormat="1" applyFont="1"/>
    <xf numFmtId="0" fontId="64" fillId="6" borderId="21" xfId="0" applyFont="1" applyFill="1" applyBorder="1"/>
    <xf numFmtId="37" fontId="9" fillId="0" borderId="0" xfId="0" applyNumberFormat="1" applyFont="1"/>
    <xf numFmtId="37" fontId="9" fillId="0" borderId="21" xfId="0" applyNumberFormat="1" applyFont="1" applyBorder="1"/>
    <xf numFmtId="0" fontId="68" fillId="0" borderId="0" xfId="0" applyFont="1"/>
    <xf numFmtId="0" fontId="9" fillId="0" borderId="21" xfId="0" applyFont="1" applyBorder="1"/>
    <xf numFmtId="37" fontId="9" fillId="5" borderId="21" xfId="0" applyNumberFormat="1" applyFont="1" applyFill="1" applyBorder="1"/>
    <xf numFmtId="37" fontId="9" fillId="5" borderId="0" xfId="0" applyNumberFormat="1" applyFont="1" applyFill="1"/>
    <xf numFmtId="0" fontId="56" fillId="5" borderId="22" xfId="0" applyFont="1" applyFill="1" applyBorder="1"/>
    <xf numFmtId="3" fontId="3" fillId="0" borderId="0" xfId="0" applyNumberFormat="1" applyFont="1" applyAlignment="1">
      <alignment horizontal="center"/>
    </xf>
    <xf numFmtId="0" fontId="3" fillId="0" borderId="20" xfId="0" applyFont="1" applyBorder="1" applyAlignment="1">
      <alignment horizontal="center"/>
    </xf>
    <xf numFmtId="3" fontId="3" fillId="5" borderId="0" xfId="0" applyNumberFormat="1" applyFont="1" applyFill="1" applyAlignment="1">
      <alignment horizontal="center"/>
    </xf>
    <xf numFmtId="0" fontId="3" fillId="0" borderId="20" xfId="0" applyFont="1" applyBorder="1"/>
    <xf numFmtId="3" fontId="3" fillId="0" borderId="21" xfId="0" applyNumberFormat="1" applyFont="1" applyBorder="1" applyAlignment="1">
      <alignment horizontal="center"/>
    </xf>
    <xf numFmtId="166" fontId="3" fillId="0" borderId="0" xfId="3" applyNumberFormat="1" applyFont="1" applyAlignment="1">
      <alignment horizontal="center"/>
    </xf>
    <xf numFmtId="3" fontId="14" fillId="0" borderId="0" xfId="0" applyNumberFormat="1" applyFont="1" applyAlignment="1">
      <alignment horizontal="center"/>
    </xf>
    <xf numFmtId="0" fontId="70" fillId="5" borderId="0" xfId="0" applyFont="1" applyFill="1"/>
    <xf numFmtId="0" fontId="39" fillId="8" borderId="0" xfId="2" applyFont="1" applyFill="1" applyAlignment="1">
      <alignment horizontal="right" readingOrder="2"/>
    </xf>
    <xf numFmtId="0" fontId="34" fillId="0" borderId="0" xfId="2"/>
    <xf numFmtId="0" fontId="40" fillId="9" borderId="0" xfId="2" applyFont="1" applyFill="1" applyAlignment="1">
      <alignment horizontal="right" readingOrder="2"/>
    </xf>
    <xf numFmtId="0" fontId="40" fillId="9" borderId="26" xfId="2" applyFont="1" applyFill="1" applyBorder="1" applyAlignment="1">
      <alignment horizontal="right" readingOrder="2"/>
    </xf>
    <xf numFmtId="0" fontId="2" fillId="0" borderId="0" xfId="2" applyFont="1"/>
    <xf numFmtId="0" fontId="3" fillId="0" borderId="0" xfId="2" applyFont="1"/>
    <xf numFmtId="0" fontId="41" fillId="3" borderId="0" xfId="2" applyFont="1" applyFill="1" applyAlignment="1">
      <alignment horizontal="right" readingOrder="2"/>
    </xf>
    <xf numFmtId="0" fontId="4" fillId="0" borderId="20" xfId="0" applyFont="1" applyBorder="1" applyAlignment="1">
      <alignment horizontal="center"/>
    </xf>
    <xf numFmtId="0" fontId="1" fillId="0" borderId="0" xfId="2" applyFont="1" applyAlignment="1">
      <alignment horizontal="center" readingOrder="2"/>
    </xf>
    <xf numFmtId="0" fontId="2" fillId="5" borderId="20" xfId="0" applyFont="1" applyFill="1" applyBorder="1" applyAlignment="1">
      <alignment horizontal="center"/>
    </xf>
    <xf numFmtId="0" fontId="2" fillId="9" borderId="0" xfId="0" applyFont="1" applyFill="1" applyAlignment="1">
      <alignment horizontal="center"/>
    </xf>
    <xf numFmtId="0" fontId="15" fillId="7" borderId="14" xfId="0" applyFont="1" applyFill="1" applyBorder="1" applyAlignment="1">
      <alignment horizontal="center"/>
    </xf>
    <xf numFmtId="0" fontId="15" fillId="7" borderId="16" xfId="0" applyFont="1" applyFill="1" applyBorder="1" applyAlignment="1">
      <alignment horizontal="center"/>
    </xf>
    <xf numFmtId="0" fontId="2" fillId="0" borderId="17" xfId="0" applyFont="1" applyBorder="1" applyAlignment="1">
      <alignment horizontal="center" wrapText="1"/>
    </xf>
    <xf numFmtId="0" fontId="2" fillId="0" borderId="19" xfId="0" applyFont="1" applyBorder="1" applyAlignment="1">
      <alignment horizontal="center"/>
    </xf>
    <xf numFmtId="0" fontId="2" fillId="0" borderId="18" xfId="0" applyFont="1" applyBorder="1" applyAlignment="1">
      <alignment horizontal="center"/>
    </xf>
    <xf numFmtId="0" fontId="2" fillId="0" borderId="0" xfId="0" applyFont="1" applyAlignment="1">
      <alignment horizontal="center" vertical="center"/>
    </xf>
    <xf numFmtId="0" fontId="3" fillId="0" borderId="0" xfId="0" applyFont="1"/>
    <xf numFmtId="0" fontId="4" fillId="4" borderId="0" xfId="0" applyFont="1" applyFill="1" applyAlignment="1">
      <alignment horizontal="center" vertical="center" wrapText="1"/>
    </xf>
    <xf numFmtId="0" fontId="5" fillId="2" borderId="1" xfId="0" applyFont="1" applyFill="1" applyBorder="1"/>
    <xf numFmtId="0" fontId="9" fillId="0" borderId="2" xfId="0" applyFont="1" applyBorder="1"/>
    <xf numFmtId="0" fontId="9" fillId="0" borderId="3" xfId="0" applyFont="1" applyBorder="1"/>
    <xf numFmtId="0" fontId="2" fillId="0" borderId="14" xfId="0" applyFont="1" applyBorder="1"/>
    <xf numFmtId="0" fontId="9" fillId="0" borderId="32" xfId="0" applyFont="1" applyBorder="1"/>
    <xf numFmtId="0" fontId="2" fillId="5" borderId="15" xfId="0" applyFont="1" applyFill="1" applyBorder="1" applyAlignment="1">
      <alignment horizontal="center"/>
    </xf>
    <xf numFmtId="0" fontId="2" fillId="5" borderId="16" xfId="0" applyFont="1" applyFill="1" applyBorder="1" applyAlignment="1">
      <alignment horizontal="center"/>
    </xf>
    <xf numFmtId="0" fontId="10" fillId="0" borderId="0" xfId="0" applyFont="1" applyAlignment="1">
      <alignment horizontal="center"/>
    </xf>
    <xf numFmtId="0" fontId="2" fillId="0" borderId="14" xfId="0" applyFont="1" applyBorder="1" applyAlignment="1">
      <alignment horizontal="right"/>
    </xf>
    <xf numFmtId="0" fontId="2" fillId="0" borderId="15" xfId="0" applyFont="1" applyBorder="1" applyAlignment="1">
      <alignment horizontal="right"/>
    </xf>
    <xf numFmtId="0" fontId="2" fillId="0" borderId="16" xfId="0" applyFont="1" applyBorder="1" applyAlignment="1">
      <alignment horizontal="right"/>
    </xf>
    <xf numFmtId="0" fontId="2" fillId="0" borderId="17" xfId="0" applyFont="1" applyBorder="1" applyAlignment="1">
      <alignment horizontal="right" vertical="center"/>
    </xf>
    <xf numFmtId="0" fontId="2" fillId="0" borderId="18" xfId="0" applyFont="1" applyBorder="1" applyAlignment="1">
      <alignment horizontal="right" vertical="center"/>
    </xf>
    <xf numFmtId="0" fontId="5" fillId="5" borderId="0" xfId="0" applyFont="1" applyFill="1" applyAlignment="1">
      <alignment horizontal="center"/>
    </xf>
    <xf numFmtId="0" fontId="3" fillId="5" borderId="0" xfId="0" applyFont="1" applyFill="1" applyAlignment="1">
      <alignment horizontal="center"/>
    </xf>
    <xf numFmtId="37" fontId="14" fillId="0" borderId="49" xfId="0" applyNumberFormat="1" applyFont="1" applyBorder="1" applyAlignment="1">
      <alignment horizontal="center" vertical="center"/>
    </xf>
    <xf numFmtId="37" fontId="14" fillId="0" borderId="0" xfId="0" applyNumberFormat="1" applyFont="1" applyAlignment="1">
      <alignment horizontal="center" vertical="center"/>
    </xf>
    <xf numFmtId="0" fontId="5" fillId="0" borderId="33" xfId="0" applyFont="1" applyBorder="1" applyAlignment="1">
      <alignment horizontal="right"/>
    </xf>
    <xf numFmtId="0" fontId="5" fillId="0" borderId="44" xfId="0" applyFont="1" applyBorder="1" applyAlignment="1">
      <alignment horizontal="center"/>
    </xf>
    <xf numFmtId="0" fontId="5" fillId="0" borderId="45" xfId="0" applyFont="1" applyBorder="1" applyAlignment="1">
      <alignment horizontal="center"/>
    </xf>
    <xf numFmtId="0" fontId="17" fillId="0" borderId="38" xfId="0" applyFont="1" applyBorder="1" applyAlignment="1">
      <alignment horizontal="center" wrapText="1"/>
    </xf>
    <xf numFmtId="0" fontId="17" fillId="0" borderId="34" xfId="0" applyFont="1" applyBorder="1" applyAlignment="1">
      <alignment horizontal="center"/>
    </xf>
    <xf numFmtId="0" fontId="17" fillId="0" borderId="38" xfId="0" applyFont="1" applyBorder="1" applyAlignment="1">
      <alignment horizontal="center"/>
    </xf>
    <xf numFmtId="0" fontId="17" fillId="0" borderId="44" xfId="0" applyFont="1" applyBorder="1" applyAlignment="1">
      <alignment horizontal="center"/>
    </xf>
    <xf numFmtId="0" fontId="17" fillId="0" borderId="45" xfId="0" applyFont="1" applyBorder="1" applyAlignment="1">
      <alignment horizontal="center"/>
    </xf>
    <xf numFmtId="0" fontId="17" fillId="0" borderId="44" xfId="0" applyFont="1" applyBorder="1" applyAlignment="1">
      <alignment horizontal="right"/>
    </xf>
    <xf numFmtId="0" fontId="17" fillId="0" borderId="45" xfId="0" applyFont="1" applyBorder="1" applyAlignment="1">
      <alignment horizontal="right"/>
    </xf>
    <xf numFmtId="0" fontId="17" fillId="0" borderId="0" xfId="0" applyFont="1" applyAlignment="1">
      <alignment horizontal="center"/>
    </xf>
    <xf numFmtId="0" fontId="17" fillId="7" borderId="0" xfId="0" applyFont="1" applyFill="1"/>
    <xf numFmtId="0" fontId="17" fillId="0" borderId="23" xfId="0" applyFont="1" applyBorder="1"/>
    <xf numFmtId="0" fontId="17" fillId="0" borderId="24" xfId="0" applyFont="1" applyBorder="1"/>
    <xf numFmtId="0" fontId="17" fillId="0" borderId="0" xfId="0" applyFont="1" applyBorder="1"/>
    <xf numFmtId="0" fontId="5" fillId="7" borderId="0" xfId="0" applyFont="1" applyFill="1"/>
    <xf numFmtId="14" fontId="17" fillId="0" borderId="0" xfId="0" applyNumberFormat="1" applyFont="1"/>
    <xf numFmtId="14" fontId="17" fillId="0" borderId="0" xfId="0" applyNumberFormat="1" applyFont="1" applyAlignment="1">
      <alignment horizontal="center"/>
    </xf>
    <xf numFmtId="0" fontId="17" fillId="0" borderId="0" xfId="0" applyFont="1" applyAlignment="1">
      <alignment horizontal="left"/>
    </xf>
    <xf numFmtId="0" fontId="4" fillId="23" borderId="0" xfId="0" applyFont="1" applyFill="1"/>
    <xf numFmtId="0" fontId="2" fillId="24" borderId="0" xfId="0" applyFont="1" applyFill="1"/>
    <xf numFmtId="37" fontId="2" fillId="0" borderId="50" xfId="0" applyNumberFormat="1" applyFont="1" applyBorder="1"/>
    <xf numFmtId="9" fontId="2" fillId="0" borderId="20" xfId="0" applyNumberFormat="1" applyFont="1" applyBorder="1" applyAlignment="1">
      <alignment horizontal="center"/>
    </xf>
    <xf numFmtId="0" fontId="2" fillId="21" borderId="0" xfId="0" applyFont="1" applyFill="1" applyAlignment="1">
      <alignment horizontal="center"/>
    </xf>
    <xf numFmtId="0" fontId="4" fillId="0" borderId="0" xfId="0" applyFont="1" applyAlignment="1">
      <alignment horizontal="center"/>
    </xf>
    <xf numFmtId="37" fontId="20" fillId="0" borderId="0" xfId="0" applyNumberFormat="1" applyFont="1" applyAlignment="1">
      <alignment horizontal="center"/>
    </xf>
    <xf numFmtId="0" fontId="36" fillId="0" borderId="0" xfId="0" applyFont="1"/>
    <xf numFmtId="0" fontId="2" fillId="0" borderId="0" xfId="0" applyFont="1" applyBorder="1"/>
    <xf numFmtId="0" fontId="14" fillId="6" borderId="0" xfId="0" applyFont="1" applyFill="1" applyAlignment="1">
      <alignment horizontal="center"/>
    </xf>
    <xf numFmtId="0" fontId="2" fillId="14" borderId="0" xfId="0" applyFont="1" applyFill="1"/>
    <xf numFmtId="0" fontId="13" fillId="0" borderId="20" xfId="0" applyFont="1" applyBorder="1"/>
    <xf numFmtId="0" fontId="14" fillId="6" borderId="0" xfId="0" applyFont="1" applyFill="1"/>
    <xf numFmtId="3" fontId="14" fillId="5" borderId="21" xfId="0" applyNumberFormat="1" applyFont="1" applyFill="1" applyBorder="1"/>
    <xf numFmtId="14" fontId="17" fillId="5" borderId="0" xfId="0" applyNumberFormat="1" applyFont="1" applyFill="1"/>
    <xf numFmtId="37" fontId="64" fillId="7" borderId="0" xfId="0" applyNumberFormat="1" applyFont="1" applyFill="1" applyAlignment="1">
      <alignment horizontal="center"/>
    </xf>
    <xf numFmtId="0" fontId="64" fillId="7" borderId="0" xfId="0" applyFont="1" applyFill="1" applyAlignment="1">
      <alignment horizontal="center"/>
    </xf>
    <xf numFmtId="0" fontId="64" fillId="0" borderId="0" xfId="0" applyFont="1" applyAlignment="1">
      <alignment horizontal="center"/>
    </xf>
    <xf numFmtId="14" fontId="68" fillId="0" borderId="20" xfId="0" applyNumberFormat="1" applyFont="1" applyBorder="1" applyAlignment="1">
      <alignment horizontal="center"/>
    </xf>
    <xf numFmtId="14" fontId="68" fillId="7" borderId="0" xfId="0" applyNumberFormat="1" applyFont="1" applyFill="1" applyAlignment="1">
      <alignment horizontal="center"/>
    </xf>
    <xf numFmtId="0" fontId="9" fillId="7" borderId="0" xfId="0" applyFont="1" applyFill="1"/>
    <xf numFmtId="0" fontId="68" fillId="7" borderId="0" xfId="0" applyFont="1" applyFill="1" applyAlignment="1">
      <alignment horizontal="center"/>
    </xf>
    <xf numFmtId="0" fontId="9" fillId="0" borderId="21" xfId="0" applyFont="1" applyBorder="1" applyAlignment="1">
      <alignment horizontal="center"/>
    </xf>
    <xf numFmtId="0" fontId="9" fillId="0" borderId="25" xfId="0" applyFont="1" applyBorder="1"/>
    <xf numFmtId="37" fontId="68" fillId="0" borderId="0" xfId="0" applyNumberFormat="1" applyFont="1"/>
    <xf numFmtId="37" fontId="68" fillId="0" borderId="47" xfId="0" applyNumberFormat="1" applyFont="1" applyBorder="1"/>
    <xf numFmtId="0" fontId="5" fillId="0" borderId="27" xfId="0" applyFont="1" applyBorder="1"/>
    <xf numFmtId="3" fontId="17" fillId="25" borderId="0" xfId="0" applyNumberFormat="1" applyFont="1" applyFill="1"/>
    <xf numFmtId="37" fontId="17" fillId="0" borderId="0" xfId="0" applyNumberFormat="1" applyFont="1" applyAlignment="1">
      <alignment horizontal="center" vertical="center" wrapText="1"/>
    </xf>
    <xf numFmtId="37" fontId="17" fillId="0" borderId="0" xfId="0" applyNumberFormat="1" applyFont="1" applyAlignment="1">
      <alignment horizontal="center" vertical="center"/>
    </xf>
    <xf numFmtId="37" fontId="17" fillId="25" borderId="0" xfId="0" applyNumberFormat="1" applyFont="1" applyFill="1" applyAlignment="1">
      <alignment horizontal="center" vertical="center"/>
    </xf>
  </cellXfs>
  <cellStyles count="4">
    <cellStyle name="Hyperlink" xfId="1" builtinId="8"/>
    <cellStyle name="Normal" xfId="0" builtinId="0"/>
    <cellStyle name="Normal 2" xfId="2" xr:uid="{02638A7D-6539-194E-BA97-9940E6F4AAB6}"/>
    <cellStyle name="Percent" xfId="3" builtinId="5"/>
  </cellStyles>
  <dxfs count="1">
    <dxf>
      <fill>
        <patternFill patternType="solid">
          <fgColor rgb="FFB7E1CD"/>
          <bgColor rgb="FFB7E1CD"/>
        </patternFill>
      </fill>
    </dxf>
  </dxfs>
  <tableStyles count="0" defaultTableStyle="TableStyleMedium2" defaultPivotStyle="PivotStyleLight16"/>
  <colors>
    <mruColors>
      <color rgb="FF00FA00"/>
      <color rgb="FF73FE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7/10/relationships/person" Target="persons/perso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142621534" y="37695267"/>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mlns="">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1665</xdr:row>
      <xdr:rowOff>44450</xdr:rowOff>
    </xdr:from>
    <xdr:to>
      <xdr:col>3</xdr:col>
      <xdr:colOff>317500</xdr:colOff>
      <xdr:row>1667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1667</xdr:row>
      <xdr:rowOff>82550</xdr:rowOff>
    </xdr:from>
    <xdr:to>
      <xdr:col>3</xdr:col>
      <xdr:colOff>393700</xdr:colOff>
      <xdr:row>1669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1669</xdr:row>
      <xdr:rowOff>101600</xdr:rowOff>
    </xdr:from>
    <xdr:to>
      <xdr:col>4</xdr:col>
      <xdr:colOff>850900</xdr:colOff>
      <xdr:row>1673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1667</xdr:row>
      <xdr:rowOff>82550</xdr:rowOff>
    </xdr:from>
    <xdr:to>
      <xdr:col>2</xdr:col>
      <xdr:colOff>292100</xdr:colOff>
      <xdr:row>1669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1669</xdr:row>
      <xdr:rowOff>165100</xdr:rowOff>
    </xdr:from>
    <xdr:to>
      <xdr:col>2</xdr:col>
      <xdr:colOff>215900</xdr:colOff>
      <xdr:row>1673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1673</xdr:row>
      <xdr:rowOff>158750</xdr:rowOff>
    </xdr:from>
    <xdr:to>
      <xdr:col>2</xdr:col>
      <xdr:colOff>330200</xdr:colOff>
      <xdr:row>1675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1676</xdr:row>
      <xdr:rowOff>38100</xdr:rowOff>
    </xdr:from>
    <xdr:to>
      <xdr:col>3</xdr:col>
      <xdr:colOff>781050</xdr:colOff>
      <xdr:row>1678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1673</xdr:row>
      <xdr:rowOff>146050</xdr:rowOff>
    </xdr:from>
    <xdr:to>
      <xdr:col>1</xdr:col>
      <xdr:colOff>298450</xdr:colOff>
      <xdr:row>1675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1676</xdr:row>
      <xdr:rowOff>57150</xdr:rowOff>
    </xdr:from>
    <xdr:to>
      <xdr:col>1</xdr:col>
      <xdr:colOff>609600</xdr:colOff>
      <xdr:row>1678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1707</xdr:row>
      <xdr:rowOff>177800</xdr:rowOff>
    </xdr:from>
    <xdr:to>
      <xdr:col>5</xdr:col>
      <xdr:colOff>0</xdr:colOff>
      <xdr:row>1707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1595</xdr:row>
      <xdr:rowOff>39482</xdr:rowOff>
    </xdr:from>
    <xdr:to>
      <xdr:col>7</xdr:col>
      <xdr:colOff>1059429</xdr:colOff>
      <xdr:row>1595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1595</xdr:row>
      <xdr:rowOff>179102</xdr:rowOff>
    </xdr:from>
    <xdr:to>
      <xdr:col>5</xdr:col>
      <xdr:colOff>1033911</xdr:colOff>
      <xdr:row>1597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425962</xdr:colOff>
      <xdr:row>918</xdr:row>
      <xdr:rowOff>33866</xdr:rowOff>
    </xdr:from>
    <xdr:to>
      <xdr:col>17</xdr:col>
      <xdr:colOff>560811</xdr:colOff>
      <xdr:row>1718</xdr:row>
      <xdr:rowOff>134100</xdr:rowOff>
    </xdr:to>
    <xdr:sp macro="" textlink="">
      <xdr:nvSpPr>
        <xdr:cNvPr id="36" name="Left Brace 35">
          <a:extLst>
            <a:ext uri="{FF2B5EF4-FFF2-40B4-BE49-F238E27FC236}">
              <a16:creationId xmlns:a16="http://schemas.microsoft.com/office/drawing/2014/main" id="{E81F2E9D-C2B8-1F43-B9E4-7DD30D806351}"/>
            </a:ext>
          </a:extLst>
        </xdr:cNvPr>
        <xdr:cNvSpPr/>
      </xdr:nvSpPr>
      <xdr:spPr>
        <a:xfrm>
          <a:off x="18074300059" y="195953059"/>
          <a:ext cx="3447892" cy="15632601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17</xdr:col>
      <xdr:colOff>844582</xdr:colOff>
      <xdr:row>988</xdr:row>
      <xdr:rowOff>8347</xdr:rowOff>
    </xdr:from>
    <xdr:to>
      <xdr:col>18</xdr:col>
      <xdr:colOff>944410</xdr:colOff>
      <xdr:row>1071</xdr:row>
      <xdr:rowOff>203199</xdr:rowOff>
    </xdr:to>
    <xdr:sp macro="" textlink="">
      <xdr:nvSpPr>
        <xdr:cNvPr id="38" name="Rectangle 37">
          <a:extLst>
            <a:ext uri="{FF2B5EF4-FFF2-40B4-BE49-F238E27FC236}">
              <a16:creationId xmlns:a16="http://schemas.microsoft.com/office/drawing/2014/main" id="{020311CD-A91A-3C4B-92C4-7BF9A0D0B8FE}"/>
            </a:ext>
          </a:extLst>
        </xdr:cNvPr>
        <xdr:cNvSpPr/>
      </xdr:nvSpPr>
      <xdr:spPr>
        <a:xfrm rot="16200000">
          <a:off x="18004187544" y="218360393"/>
          <a:ext cx="17957919" cy="12004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ברמת העקרונות והתהליך במפגש</a:t>
          </a:r>
          <a:endParaRPr lang="en-US" sz="6000"/>
        </a:p>
      </xdr:txBody>
    </xdr:sp>
    <xdr:clientData/>
  </xdr:twoCellAnchor>
  <xdr:twoCellAnchor editAs="oneCell">
    <xdr:from>
      <xdr:col>0</xdr:col>
      <xdr:colOff>0</xdr:colOff>
      <xdr:row>1163</xdr:row>
      <xdr:rowOff>0</xdr:rowOff>
    </xdr:from>
    <xdr:to>
      <xdr:col>1</xdr:col>
      <xdr:colOff>332836</xdr:colOff>
      <xdr:row>1168</xdr:row>
      <xdr:rowOff>111904</xdr:rowOff>
    </xdr:to>
    <xdr:pic>
      <xdr:nvPicPr>
        <xdr:cNvPr id="41" name="Picture 40">
          <a:extLst>
            <a:ext uri="{FF2B5EF4-FFF2-40B4-BE49-F238E27FC236}">
              <a16:creationId xmlns:a16="http://schemas.microsoft.com/office/drawing/2014/main" id="{49F315EF-5721-AE0D-85C7-0CE953E81D44}"/>
            </a:ext>
          </a:extLst>
        </xdr:cNvPr>
        <xdr:cNvPicPr>
          <a:picLocks noChangeAspect="1"/>
        </xdr:cNvPicPr>
      </xdr:nvPicPr>
      <xdr:blipFill>
        <a:blip xmlns:r="http://schemas.openxmlformats.org/officeDocument/2006/relationships" r:embed="rId5"/>
        <a:stretch>
          <a:fillRect/>
        </a:stretch>
      </xdr:blipFill>
      <xdr:spPr>
        <a:xfrm>
          <a:off x="18058180560" y="245828868"/>
          <a:ext cx="1435100" cy="1130300"/>
        </a:xfrm>
        <a:prstGeom prst="rect">
          <a:avLst/>
        </a:prstGeom>
      </xdr:spPr>
    </xdr:pic>
    <xdr:clientData/>
  </xdr:twoCellAnchor>
  <xdr:twoCellAnchor>
    <xdr:from>
      <xdr:col>1</xdr:col>
      <xdr:colOff>335472</xdr:colOff>
      <xdr:row>1164</xdr:row>
      <xdr:rowOff>101840</xdr:rowOff>
    </xdr:from>
    <xdr:to>
      <xdr:col>4</xdr:col>
      <xdr:colOff>970471</xdr:colOff>
      <xdr:row>1166</xdr:row>
      <xdr:rowOff>29953</xdr:rowOff>
    </xdr:to>
    <xdr:sp macro="" textlink="">
      <xdr:nvSpPr>
        <xdr:cNvPr id="42" name="Rectangular Callout 41">
          <a:extLst>
            <a:ext uri="{FF2B5EF4-FFF2-40B4-BE49-F238E27FC236}">
              <a16:creationId xmlns:a16="http://schemas.microsoft.com/office/drawing/2014/main" id="{F44FE16B-3630-CE18-979D-4292CD5CFF21}"/>
            </a:ext>
          </a:extLst>
        </xdr:cNvPr>
        <xdr:cNvSpPr/>
      </xdr:nvSpPr>
      <xdr:spPr>
        <a:xfrm>
          <a:off x="18054236132" y="246134387"/>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מאד</a:t>
          </a:r>
          <a:r>
            <a:rPr lang="he-IL" sz="1100" baseline="0"/>
            <a:t> עצובה, עברת על עוד סעיפים מאד מהר ולא הספקתי לרשום</a:t>
          </a:r>
          <a:endParaRPr lang="en-US" sz="1100"/>
        </a:p>
      </xdr:txBody>
    </xdr:sp>
    <xdr:clientData/>
  </xdr:twoCellAnchor>
  <xdr:twoCellAnchor editAs="oneCell">
    <xdr:from>
      <xdr:col>1</xdr:col>
      <xdr:colOff>0</xdr:colOff>
      <xdr:row>1170</xdr:row>
      <xdr:rowOff>0</xdr:rowOff>
    </xdr:from>
    <xdr:to>
      <xdr:col>2</xdr:col>
      <xdr:colOff>942436</xdr:colOff>
      <xdr:row>1176</xdr:row>
      <xdr:rowOff>22525</xdr:rowOff>
    </xdr:to>
    <xdr:pic>
      <xdr:nvPicPr>
        <xdr:cNvPr id="43" name="Picture 42">
          <a:extLst>
            <a:ext uri="{FF2B5EF4-FFF2-40B4-BE49-F238E27FC236}">
              <a16:creationId xmlns:a16="http://schemas.microsoft.com/office/drawing/2014/main" id="{D04C73C9-A927-AF47-DB55-AD3C28640669}"/>
            </a:ext>
          </a:extLst>
        </xdr:cNvPr>
        <xdr:cNvPicPr>
          <a:picLocks noChangeAspect="1"/>
        </xdr:cNvPicPr>
      </xdr:nvPicPr>
      <xdr:blipFill>
        <a:blip xmlns:r="http://schemas.openxmlformats.org/officeDocument/2006/relationships" r:embed="rId6"/>
        <a:stretch>
          <a:fillRect/>
        </a:stretch>
      </xdr:blipFill>
      <xdr:spPr>
        <a:xfrm>
          <a:off x="18056468696" y="247254623"/>
          <a:ext cx="2044700" cy="1244600"/>
        </a:xfrm>
        <a:prstGeom prst="rect">
          <a:avLst/>
        </a:prstGeom>
      </xdr:spPr>
    </xdr:pic>
    <xdr:clientData/>
  </xdr:twoCellAnchor>
  <xdr:twoCellAnchor>
    <xdr:from>
      <xdr:col>3</xdr:col>
      <xdr:colOff>11982</xdr:colOff>
      <xdr:row>1171</xdr:row>
      <xdr:rowOff>143774</xdr:rowOff>
    </xdr:from>
    <xdr:to>
      <xdr:col>6</xdr:col>
      <xdr:colOff>527170</xdr:colOff>
      <xdr:row>1173</xdr:row>
      <xdr:rowOff>71888</xdr:rowOff>
    </xdr:to>
    <xdr:sp macro="" textlink="">
      <xdr:nvSpPr>
        <xdr:cNvPr id="46" name="Rectangular Callout 45">
          <a:extLst>
            <a:ext uri="{FF2B5EF4-FFF2-40B4-BE49-F238E27FC236}">
              <a16:creationId xmlns:a16="http://schemas.microsoft.com/office/drawing/2014/main" id="{0ED6C5D0-3EFF-3431-0707-A0C0EC6EDDF3}"/>
            </a:ext>
          </a:extLst>
        </xdr:cNvPr>
        <xdr:cNvSpPr/>
      </xdr:nvSpPr>
      <xdr:spPr>
        <a:xfrm>
          <a:off x="18052355094" y="247602076"/>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מיד מסייע</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822157</xdr:colOff>
      <xdr:row>56</xdr:row>
      <xdr:rowOff>160421</xdr:rowOff>
    </xdr:from>
    <xdr:to>
      <xdr:col>4</xdr:col>
      <xdr:colOff>701842</xdr:colOff>
      <xdr:row>57</xdr:row>
      <xdr:rowOff>167105</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75731842" y="8382000"/>
          <a:ext cx="1537369" cy="17378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761999</xdr:colOff>
      <xdr:row>57</xdr:row>
      <xdr:rowOff>167105</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76433684" y="8555789"/>
          <a:ext cx="66843" cy="59386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808789</xdr:colOff>
      <xdr:row>49</xdr:row>
      <xdr:rowOff>10284</xdr:rowOff>
    </xdr:from>
    <xdr:to>
      <xdr:col>5</xdr:col>
      <xdr:colOff>641684</xdr:colOff>
      <xdr:row>56</xdr:row>
      <xdr:rowOff>0</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74963158" y="7062126"/>
          <a:ext cx="661737" cy="1159453"/>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636985</xdr:colOff>
      <xdr:row>49</xdr:row>
      <xdr:rowOff>1718</xdr:rowOff>
    </xdr:from>
    <xdr:ext cx="165366" cy="1309589"/>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6</xdr:col>
      <xdr:colOff>13368</xdr:colOff>
      <xdr:row>56</xdr:row>
      <xdr:rowOff>80210</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73206752" y="9471526"/>
          <a:ext cx="1555880" cy="7199"/>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264</xdr:row>
      <xdr:rowOff>141111</xdr:rowOff>
    </xdr:from>
    <xdr:to>
      <xdr:col>4</xdr:col>
      <xdr:colOff>76436</xdr:colOff>
      <xdr:row>266</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254</xdr:row>
      <xdr:rowOff>105834</xdr:rowOff>
    </xdr:from>
    <xdr:to>
      <xdr:col>5</xdr:col>
      <xdr:colOff>552801</xdr:colOff>
      <xdr:row>270</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267</xdr:row>
      <xdr:rowOff>116974</xdr:rowOff>
    </xdr:from>
    <xdr:to>
      <xdr:col>3</xdr:col>
      <xdr:colOff>89123</xdr:colOff>
      <xdr:row>271</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215</xdr:row>
      <xdr:rowOff>86488</xdr:rowOff>
    </xdr:from>
    <xdr:to>
      <xdr:col>4</xdr:col>
      <xdr:colOff>0</xdr:colOff>
      <xdr:row>215</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233</xdr:row>
      <xdr:rowOff>86488</xdr:rowOff>
    </xdr:from>
    <xdr:to>
      <xdr:col>9</xdr:col>
      <xdr:colOff>0</xdr:colOff>
      <xdr:row>233</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227</xdr:row>
      <xdr:rowOff>111713</xdr:rowOff>
    </xdr:from>
    <xdr:to>
      <xdr:col>5</xdr:col>
      <xdr:colOff>764352</xdr:colOff>
      <xdr:row>227</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227</xdr:row>
      <xdr:rowOff>117593</xdr:rowOff>
    </xdr:from>
    <xdr:to>
      <xdr:col>5</xdr:col>
      <xdr:colOff>411575</xdr:colOff>
      <xdr:row>239</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239</xdr:row>
      <xdr:rowOff>94074</xdr:rowOff>
    </xdr:from>
    <xdr:to>
      <xdr:col>9</xdr:col>
      <xdr:colOff>346898</xdr:colOff>
      <xdr:row>239</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236</xdr:row>
      <xdr:rowOff>41158</xdr:rowOff>
    </xdr:from>
    <xdr:to>
      <xdr:col>9</xdr:col>
      <xdr:colOff>364537</xdr:colOff>
      <xdr:row>239</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311</xdr:row>
      <xdr:rowOff>153629</xdr:rowOff>
    </xdr:from>
    <xdr:to>
      <xdr:col>7</xdr:col>
      <xdr:colOff>809113</xdr:colOff>
      <xdr:row>313</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27912</xdr:colOff>
      <xdr:row>7</xdr:row>
      <xdr:rowOff>69780</xdr:rowOff>
    </xdr:from>
    <xdr:to>
      <xdr:col>8</xdr:col>
      <xdr:colOff>437290</xdr:colOff>
      <xdr:row>21</xdr:row>
      <xdr:rowOff>51172</xdr:rowOff>
    </xdr:to>
    <xdr:sp macro="" textlink="">
      <xdr:nvSpPr>
        <xdr:cNvPr id="3" name="Rounded Rectangle 2">
          <a:extLst>
            <a:ext uri="{FF2B5EF4-FFF2-40B4-BE49-F238E27FC236}">
              <a16:creationId xmlns:a16="http://schemas.microsoft.com/office/drawing/2014/main" id="{9C50E95F-78BC-BE9A-3985-368727A1EA22}"/>
            </a:ext>
          </a:extLst>
        </xdr:cNvPr>
        <xdr:cNvSpPr/>
      </xdr:nvSpPr>
      <xdr:spPr>
        <a:xfrm>
          <a:off x="13483669084" y="1251392"/>
          <a:ext cx="1232784" cy="226087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הכי קצר שאפשר:</a:t>
          </a:r>
        </a:p>
        <a:p>
          <a:pPr algn="r" rtl="1"/>
          <a:r>
            <a:rPr lang="he-IL" sz="1100"/>
            <a:t>איך חובות בסיכון משפיעים על שווי נכס הלקוחות</a:t>
          </a:r>
        </a:p>
        <a:p>
          <a:pPr algn="r" rtl="1"/>
          <a:endParaRPr lang="he-IL" sz="1100"/>
        </a:p>
        <a:p>
          <a:pPr algn="r" rtl="1"/>
          <a:r>
            <a:rPr lang="he-IL" sz="1100"/>
            <a:t>ואיך שינויים בחוב</a:t>
          </a:r>
          <a:r>
            <a:rPr lang="he-IL" sz="1100" baseline="0"/>
            <a:t> שבסיכון נמדדים כהוצאה </a:t>
          </a:r>
        </a:p>
        <a:p>
          <a:pPr algn="r" rtl="1"/>
          <a:endParaRPr lang="he-IL" sz="1100" baseline="0"/>
        </a:p>
        <a:p>
          <a:pPr algn="r" rtl="1"/>
          <a:r>
            <a:rPr lang="he-IL" sz="1100" baseline="0"/>
            <a:t>חוב בסיכון = הלח״מ</a:t>
          </a:r>
          <a:endParaRPr lang="en-US" sz="1100"/>
        </a:p>
      </xdr:txBody>
    </xdr:sp>
    <xdr:clientData/>
  </xdr:twoCellAnchor>
  <xdr:twoCellAnchor>
    <xdr:from>
      <xdr:col>7</xdr:col>
      <xdr:colOff>497765</xdr:colOff>
      <xdr:row>24</xdr:row>
      <xdr:rowOff>148865</xdr:rowOff>
    </xdr:from>
    <xdr:to>
      <xdr:col>7</xdr:col>
      <xdr:colOff>735018</xdr:colOff>
      <xdr:row>27</xdr:row>
      <xdr:rowOff>41868</xdr:rowOff>
    </xdr:to>
    <xdr:sp macro="" textlink="">
      <xdr:nvSpPr>
        <xdr:cNvPr id="7" name="Left Brace 6">
          <a:extLst>
            <a:ext uri="{FF2B5EF4-FFF2-40B4-BE49-F238E27FC236}">
              <a16:creationId xmlns:a16="http://schemas.microsoft.com/office/drawing/2014/main" id="{779D4048-7691-1E6C-C44C-F563ADC36E63}"/>
            </a:ext>
          </a:extLst>
        </xdr:cNvPr>
        <xdr:cNvSpPr/>
      </xdr:nvSpPr>
      <xdr:spPr>
        <a:xfrm>
          <a:off x="13484194762" y="4098425"/>
          <a:ext cx="237253" cy="38146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765086</xdr:colOff>
      <xdr:row>46</xdr:row>
      <xdr:rowOff>19024</xdr:rowOff>
    </xdr:from>
    <xdr:to>
      <xdr:col>3</xdr:col>
      <xdr:colOff>768684</xdr:colOff>
      <xdr:row>47</xdr:row>
      <xdr:rowOff>20053</xdr:rowOff>
    </xdr:to>
    <xdr:cxnSp macro="">
      <xdr:nvCxnSpPr>
        <xdr:cNvPr id="8" name="Straight Connector 7">
          <a:extLst>
            <a:ext uri="{FF2B5EF4-FFF2-40B4-BE49-F238E27FC236}">
              <a16:creationId xmlns:a16="http://schemas.microsoft.com/office/drawing/2014/main" id="{D12893C2-8913-1861-0814-4F21FF2F9A3F}"/>
            </a:ext>
          </a:extLst>
        </xdr:cNvPr>
        <xdr:cNvCxnSpPr/>
      </xdr:nvCxnSpPr>
      <xdr:spPr>
        <a:xfrm flipH="1">
          <a:off x="13576493842" y="6569550"/>
          <a:ext cx="3598" cy="16813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753774</xdr:colOff>
      <xdr:row>46</xdr:row>
      <xdr:rowOff>33935</xdr:rowOff>
    </xdr:from>
    <xdr:to>
      <xdr:col>5</xdr:col>
      <xdr:colOff>227263</xdr:colOff>
      <xdr:row>46</xdr:row>
      <xdr:rowOff>46790</xdr:rowOff>
    </xdr:to>
    <xdr:cxnSp macro="">
      <xdr:nvCxnSpPr>
        <xdr:cNvPr id="9" name="Straight Connector 8">
          <a:extLst>
            <a:ext uri="{FF2B5EF4-FFF2-40B4-BE49-F238E27FC236}">
              <a16:creationId xmlns:a16="http://schemas.microsoft.com/office/drawing/2014/main" id="{45EC9DB3-F19C-4AB1-26B5-EDA3DFF642D9}"/>
            </a:ext>
          </a:extLst>
        </xdr:cNvPr>
        <xdr:cNvCxnSpPr/>
      </xdr:nvCxnSpPr>
      <xdr:spPr>
        <a:xfrm flipH="1">
          <a:off x="13575377579" y="6584461"/>
          <a:ext cx="1131173" cy="1285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808790</xdr:colOff>
      <xdr:row>47</xdr:row>
      <xdr:rowOff>10026</xdr:rowOff>
    </xdr:from>
    <xdr:to>
      <xdr:col>4</xdr:col>
      <xdr:colOff>725237</xdr:colOff>
      <xdr:row>48</xdr:row>
      <xdr:rowOff>73526</xdr:rowOff>
    </xdr:to>
    <xdr:sp macro="" textlink="">
      <xdr:nvSpPr>
        <xdr:cNvPr id="16" name="Left Brace 15">
          <a:extLst>
            <a:ext uri="{FF2B5EF4-FFF2-40B4-BE49-F238E27FC236}">
              <a16:creationId xmlns:a16="http://schemas.microsoft.com/office/drawing/2014/main" id="{95A2FB99-56EF-321D-D52D-3C940DD764E6}"/>
            </a:ext>
          </a:extLst>
        </xdr:cNvPr>
        <xdr:cNvSpPr/>
      </xdr:nvSpPr>
      <xdr:spPr>
        <a:xfrm rot="5400000">
          <a:off x="13576380210" y="6055895"/>
          <a:ext cx="230605" cy="1574131"/>
        </a:xfrm>
        <a:prstGeom prst="lef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207210</xdr:colOff>
      <xdr:row>46</xdr:row>
      <xdr:rowOff>32393</xdr:rowOff>
    </xdr:from>
    <xdr:to>
      <xdr:col>5</xdr:col>
      <xdr:colOff>215437</xdr:colOff>
      <xdr:row>47</xdr:row>
      <xdr:rowOff>133684</xdr:rowOff>
    </xdr:to>
    <xdr:cxnSp macro="">
      <xdr:nvCxnSpPr>
        <xdr:cNvPr id="20" name="Straight Connector 19">
          <a:extLst>
            <a:ext uri="{FF2B5EF4-FFF2-40B4-BE49-F238E27FC236}">
              <a16:creationId xmlns:a16="http://schemas.microsoft.com/office/drawing/2014/main" id="{622F34F2-5C15-F9DC-58E0-0DAF4859353A}"/>
            </a:ext>
          </a:extLst>
        </xdr:cNvPr>
        <xdr:cNvCxnSpPr/>
      </xdr:nvCxnSpPr>
      <xdr:spPr>
        <a:xfrm>
          <a:off x="13575389405" y="6582919"/>
          <a:ext cx="8227" cy="268397"/>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119288</xdr:colOff>
      <xdr:row>45</xdr:row>
      <xdr:rowOff>35374</xdr:rowOff>
    </xdr:from>
    <xdr:ext cx="672018" cy="165366"/>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2</xdr:col>
      <xdr:colOff>815473</xdr:colOff>
      <xdr:row>49</xdr:row>
      <xdr:rowOff>15426</xdr:rowOff>
    </xdr:from>
    <xdr:to>
      <xdr:col>4</xdr:col>
      <xdr:colOff>728580</xdr:colOff>
      <xdr:row>49</xdr:row>
      <xdr:rowOff>153738</xdr:rowOff>
    </xdr:to>
    <xdr:sp macro="" textlink="">
      <xdr:nvSpPr>
        <xdr:cNvPr id="28" name="Rectangle 27">
          <a:extLst>
            <a:ext uri="{FF2B5EF4-FFF2-40B4-BE49-F238E27FC236}">
              <a16:creationId xmlns:a16="http://schemas.microsoft.com/office/drawing/2014/main" id="{27C1C8BA-1A2D-20B3-AA00-7D0C0A99B24D}"/>
            </a:ext>
          </a:extLst>
        </xdr:cNvPr>
        <xdr:cNvSpPr/>
      </xdr:nvSpPr>
      <xdr:spPr>
        <a:xfrm>
          <a:off x="13575705104" y="7067268"/>
          <a:ext cx="1570791" cy="138312"/>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427789</xdr:colOff>
      <xdr:row>57</xdr:row>
      <xdr:rowOff>13368</xdr:rowOff>
    </xdr:from>
    <xdr:to>
      <xdr:col>5</xdr:col>
      <xdr:colOff>788737</xdr:colOff>
      <xdr:row>57</xdr:row>
      <xdr:rowOff>167105</xdr:rowOff>
    </xdr:to>
    <xdr:sp macro="" textlink="">
      <xdr:nvSpPr>
        <xdr:cNvPr id="37" name="Rounded Rectangle 36">
          <a:extLst>
            <a:ext uri="{FF2B5EF4-FFF2-40B4-BE49-F238E27FC236}">
              <a16:creationId xmlns:a16="http://schemas.microsoft.com/office/drawing/2014/main" id="{4663D604-3C36-C18A-2CD6-6B1DD25B6865}"/>
            </a:ext>
          </a:extLst>
        </xdr:cNvPr>
        <xdr:cNvSpPr/>
      </xdr:nvSpPr>
      <xdr:spPr>
        <a:xfrm>
          <a:off x="13574816105" y="9571789"/>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ב1</a:t>
          </a:r>
          <a:endParaRPr lang="en-US" sz="600"/>
        </a:p>
      </xdr:txBody>
    </xdr:sp>
    <xdr:clientData/>
  </xdr:twoCellAnchor>
  <xdr:twoCellAnchor>
    <xdr:from>
      <xdr:col>5</xdr:col>
      <xdr:colOff>421104</xdr:colOff>
      <xdr:row>56</xdr:row>
      <xdr:rowOff>20052</xdr:rowOff>
    </xdr:from>
    <xdr:to>
      <xdr:col>5</xdr:col>
      <xdr:colOff>782052</xdr:colOff>
      <xdr:row>57</xdr:row>
      <xdr:rowOff>6684</xdr:rowOff>
    </xdr:to>
    <xdr:sp macro="" textlink="">
      <xdr:nvSpPr>
        <xdr:cNvPr id="38" name="Rounded Rectangle 37">
          <a:extLst>
            <a:ext uri="{FF2B5EF4-FFF2-40B4-BE49-F238E27FC236}">
              <a16:creationId xmlns:a16="http://schemas.microsoft.com/office/drawing/2014/main" id="{99BECB6E-C51C-271A-5333-D561EFAAC9DB}"/>
            </a:ext>
          </a:extLst>
        </xdr:cNvPr>
        <xdr:cNvSpPr/>
      </xdr:nvSpPr>
      <xdr:spPr>
        <a:xfrm>
          <a:off x="13574822790" y="9411368"/>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ב2</a:t>
          </a:r>
          <a:endParaRPr lang="en-US" sz="600"/>
        </a:p>
      </xdr:txBody>
    </xdr:sp>
    <xdr:clientData/>
  </xdr:twoCellAnchor>
  <xdr:twoCellAnchor>
    <xdr:from>
      <xdr:col>2</xdr:col>
      <xdr:colOff>644114</xdr:colOff>
      <xdr:row>179</xdr:row>
      <xdr:rowOff>109378</xdr:rowOff>
    </xdr:from>
    <xdr:to>
      <xdr:col>3</xdr:col>
      <xdr:colOff>97225</xdr:colOff>
      <xdr:row>181</xdr:row>
      <xdr:rowOff>85072</xdr:rowOff>
    </xdr:to>
    <xdr:sp macro="" textlink="">
      <xdr:nvSpPr>
        <xdr:cNvPr id="39" name="Rounded Rectangle 38">
          <a:extLst>
            <a:ext uri="{FF2B5EF4-FFF2-40B4-BE49-F238E27FC236}">
              <a16:creationId xmlns:a16="http://schemas.microsoft.com/office/drawing/2014/main" id="{4D0A34A8-D88C-643A-54E5-8BF6C9A4B99B}"/>
            </a:ext>
          </a:extLst>
        </xdr:cNvPr>
        <xdr:cNvSpPr/>
      </xdr:nvSpPr>
      <xdr:spPr>
        <a:xfrm>
          <a:off x="13537349282" y="29562440"/>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a:t>
          </a:r>
          <a:endParaRPr lang="en-US" sz="1100"/>
        </a:p>
      </xdr:txBody>
    </xdr:sp>
    <xdr:clientData/>
  </xdr:twoCellAnchor>
  <xdr:twoCellAnchor>
    <xdr:from>
      <xdr:col>2</xdr:col>
      <xdr:colOff>686649</xdr:colOff>
      <xdr:row>184</xdr:row>
      <xdr:rowOff>97224</xdr:rowOff>
    </xdr:from>
    <xdr:to>
      <xdr:col>3</xdr:col>
      <xdr:colOff>139760</xdr:colOff>
      <xdr:row>186</xdr:row>
      <xdr:rowOff>72918</xdr:rowOff>
    </xdr:to>
    <xdr:sp macro="" textlink="">
      <xdr:nvSpPr>
        <xdr:cNvPr id="40" name="Rounded Rectangle 39">
          <a:extLst>
            <a:ext uri="{FF2B5EF4-FFF2-40B4-BE49-F238E27FC236}">
              <a16:creationId xmlns:a16="http://schemas.microsoft.com/office/drawing/2014/main" id="{3676FED7-2AF7-FC12-3A90-C5E96624E0AA}"/>
            </a:ext>
          </a:extLst>
        </xdr:cNvPr>
        <xdr:cNvSpPr/>
      </xdr:nvSpPr>
      <xdr:spPr>
        <a:xfrm>
          <a:off x="13537306747" y="30370621"/>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a:t>
          </a:r>
          <a:endParaRPr lang="en-US" sz="1100"/>
        </a:p>
      </xdr:txBody>
    </xdr:sp>
    <xdr:clientData/>
  </xdr:twoCellAnchor>
  <xdr:twoCellAnchor>
    <xdr:from>
      <xdr:col>8</xdr:col>
      <xdr:colOff>470370</xdr:colOff>
      <xdr:row>229</xdr:row>
      <xdr:rowOff>135232</xdr:rowOff>
    </xdr:from>
    <xdr:to>
      <xdr:col>8</xdr:col>
      <xdr:colOff>823147</xdr:colOff>
      <xdr:row>229</xdr:row>
      <xdr:rowOff>141112</xdr:rowOff>
    </xdr:to>
    <xdr:cxnSp macro="">
      <xdr:nvCxnSpPr>
        <xdr:cNvPr id="41" name="Straight Connector 40">
          <a:extLst>
            <a:ext uri="{FF2B5EF4-FFF2-40B4-BE49-F238E27FC236}">
              <a16:creationId xmlns:a16="http://schemas.microsoft.com/office/drawing/2014/main" id="{230D52F6-0865-A579-8BA7-36E938AE2D0C}"/>
            </a:ext>
          </a:extLst>
        </xdr:cNvPr>
        <xdr:cNvCxnSpPr/>
      </xdr:nvCxnSpPr>
      <xdr:spPr>
        <a:xfrm>
          <a:off x="13479050927" y="38358704"/>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470370</xdr:colOff>
      <xdr:row>226</xdr:row>
      <xdr:rowOff>129352</xdr:rowOff>
    </xdr:from>
    <xdr:to>
      <xdr:col>8</xdr:col>
      <xdr:colOff>470370</xdr:colOff>
      <xdr:row>229</xdr:row>
      <xdr:rowOff>146991</xdr:rowOff>
    </xdr:to>
    <xdr:cxnSp macro="">
      <xdr:nvCxnSpPr>
        <xdr:cNvPr id="43" name="Straight Connector 42">
          <a:extLst>
            <a:ext uri="{FF2B5EF4-FFF2-40B4-BE49-F238E27FC236}">
              <a16:creationId xmlns:a16="http://schemas.microsoft.com/office/drawing/2014/main" id="{734D5F80-5E59-AAB4-2C28-FEC1DAD59E2C}"/>
            </a:ext>
          </a:extLst>
        </xdr:cNvPr>
        <xdr:cNvCxnSpPr/>
      </xdr:nvCxnSpPr>
      <xdr:spPr>
        <a:xfrm>
          <a:off x="13479403704" y="37723704"/>
          <a:ext cx="0" cy="646759"/>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5880</xdr:colOff>
      <xdr:row>226</xdr:row>
      <xdr:rowOff>126316</xdr:rowOff>
    </xdr:from>
    <xdr:to>
      <xdr:col>8</xdr:col>
      <xdr:colOff>476250</xdr:colOff>
      <xdr:row>226</xdr:row>
      <xdr:rowOff>129352</xdr:rowOff>
    </xdr:to>
    <xdr:cxnSp macro="">
      <xdr:nvCxnSpPr>
        <xdr:cNvPr id="46" name="Straight Connector 45">
          <a:extLst>
            <a:ext uri="{FF2B5EF4-FFF2-40B4-BE49-F238E27FC236}">
              <a16:creationId xmlns:a16="http://schemas.microsoft.com/office/drawing/2014/main" id="{4B3DDD5C-6854-DFE8-778E-973D39577B55}"/>
            </a:ext>
          </a:extLst>
        </xdr:cNvPr>
        <xdr:cNvCxnSpPr/>
      </xdr:nvCxnSpPr>
      <xdr:spPr>
        <a:xfrm>
          <a:off x="13479397824" y="37720668"/>
          <a:ext cx="470370" cy="303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72919</xdr:colOff>
      <xdr:row>421</xdr:row>
      <xdr:rowOff>36460</xdr:rowOff>
    </xdr:from>
    <xdr:to>
      <xdr:col>7</xdr:col>
      <xdr:colOff>723110</xdr:colOff>
      <xdr:row>429</xdr:row>
      <xdr:rowOff>85071</xdr:rowOff>
    </xdr:to>
    <xdr:sp macro="" textlink="">
      <xdr:nvSpPr>
        <xdr:cNvPr id="48" name="Rounded Rectangle 47">
          <a:extLst>
            <a:ext uri="{FF2B5EF4-FFF2-40B4-BE49-F238E27FC236}">
              <a16:creationId xmlns:a16="http://schemas.microsoft.com/office/drawing/2014/main" id="{726A411C-1C2B-ADD4-8556-7C093C8807DB}"/>
            </a:ext>
          </a:extLst>
        </xdr:cNvPr>
        <xdr:cNvSpPr/>
      </xdr:nvSpPr>
      <xdr:spPr>
        <a:xfrm>
          <a:off x="13533417751" y="74784163"/>
          <a:ext cx="3129426" cy="1579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שווי מימוש נטו ליח׳ אמור לייצג את התמורה הכלכלית נטו שצפויה לנבוע ממימוש המלאי. כמובן שהבסיס לתמורה הזו הוא מחיר המכירה העתידי הצפוי; אך אם עלינו לשאת בעלויות נוספות כדי למכור - כגון אריזה, תיקון</a:t>
          </a:r>
          <a:r>
            <a:rPr lang="he-IL" sz="1100" baseline="0"/>
            <a:t> וכיו״ב (עלויות השלמה) או - עמלת סוכן, עמלת העברת בעלות (עלויות מכירה) יש לנכותן מהתמורה הצפויה כדי להגיע לשווי מימוש נטו</a:t>
          </a:r>
          <a:endParaRPr lang="en-US" sz="1100"/>
        </a:p>
      </xdr:txBody>
    </xdr:sp>
    <xdr:clientData/>
  </xdr:twoCellAnchor>
  <xdr:twoCellAnchor>
    <xdr:from>
      <xdr:col>0</xdr:col>
      <xdr:colOff>91722</xdr:colOff>
      <xdr:row>498</xdr:row>
      <xdr:rowOff>21167</xdr:rowOff>
    </xdr:from>
    <xdr:to>
      <xdr:col>7</xdr:col>
      <xdr:colOff>874889</xdr:colOff>
      <xdr:row>526</xdr:row>
      <xdr:rowOff>28222</xdr:rowOff>
    </xdr:to>
    <xdr:sp macro="" textlink="">
      <xdr:nvSpPr>
        <xdr:cNvPr id="49" name="TextBox 48">
          <a:extLst>
            <a:ext uri="{FF2B5EF4-FFF2-40B4-BE49-F238E27FC236}">
              <a16:creationId xmlns:a16="http://schemas.microsoft.com/office/drawing/2014/main" id="{E0464B0C-9745-F041-B0A8-9F308BE960A7}"/>
            </a:ext>
          </a:extLst>
        </xdr:cNvPr>
        <xdr:cNvSpPr txBox="1"/>
      </xdr:nvSpPr>
      <xdr:spPr>
        <a:xfrm>
          <a:off x="13518732311" y="34971567"/>
          <a:ext cx="6561667" cy="5696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oneCellAnchor>
    <xdr:from>
      <xdr:col>0</xdr:col>
      <xdr:colOff>747345</xdr:colOff>
      <xdr:row>572</xdr:row>
      <xdr:rowOff>97203</xdr:rowOff>
    </xdr:from>
    <xdr:ext cx="2368650" cy="31579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575</xdr:row>
      <xdr:rowOff>28817</xdr:rowOff>
    </xdr:from>
    <xdr:ext cx="424574" cy="1653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576</xdr:row>
      <xdr:rowOff>33701</xdr:rowOff>
    </xdr:from>
    <xdr:ext cx="424574" cy="1653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577</xdr:row>
      <xdr:rowOff>38588</xdr:rowOff>
    </xdr:from>
    <xdr:ext cx="424574" cy="1653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578</xdr:row>
      <xdr:rowOff>14164</xdr:rowOff>
    </xdr:from>
    <xdr:ext cx="424574" cy="1653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581</xdr:row>
      <xdr:rowOff>92318</xdr:rowOff>
    </xdr:from>
    <xdr:ext cx="3267418" cy="321498"/>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596</xdr:row>
      <xdr:rowOff>34018</xdr:rowOff>
    </xdr:from>
    <xdr:ext cx="2368650" cy="315792"/>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598</xdr:row>
      <xdr:rowOff>170089</xdr:rowOff>
    </xdr:from>
    <xdr:ext cx="5243159" cy="321435"/>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615</xdr:row>
      <xdr:rowOff>101259</xdr:rowOff>
    </xdr:from>
    <xdr:ext cx="2442313" cy="331501"/>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629</xdr:row>
      <xdr:rowOff>78580</xdr:rowOff>
    </xdr:from>
    <xdr:ext cx="3491196" cy="404213"/>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mlns="">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631</xdr:row>
      <xdr:rowOff>118267</xdr:rowOff>
    </xdr:from>
    <xdr:ext cx="4557088"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637</xdr:row>
      <xdr:rowOff>89919</xdr:rowOff>
    </xdr:from>
    <xdr:ext cx="4335973" cy="31688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641</xdr:row>
      <xdr:rowOff>78580</xdr:rowOff>
    </xdr:from>
    <xdr:ext cx="2606732" cy="200119"/>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677</xdr:row>
      <xdr:rowOff>34979</xdr:rowOff>
    </xdr:from>
    <xdr:ext cx="3383188" cy="404213"/>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686</xdr:row>
      <xdr:rowOff>153297</xdr:rowOff>
    </xdr:from>
    <xdr:ext cx="5308260" cy="427553"/>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651</xdr:row>
      <xdr:rowOff>124137</xdr:rowOff>
    </xdr:from>
    <xdr:ext cx="3156461" cy="325025"/>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656</xdr:row>
      <xdr:rowOff>112213</xdr:rowOff>
    </xdr:from>
    <xdr:ext cx="3824254" cy="32034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728</xdr:row>
      <xdr:rowOff>58952</xdr:rowOff>
    </xdr:from>
    <xdr:ext cx="3464343" cy="321498"/>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732</xdr:row>
      <xdr:rowOff>69535</xdr:rowOff>
    </xdr:from>
    <xdr:ext cx="4342762" cy="321498"/>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4</xdr:col>
      <xdr:colOff>499769</xdr:colOff>
      <xdr:row>688</xdr:row>
      <xdr:rowOff>170510</xdr:rowOff>
    </xdr:from>
    <xdr:to>
      <xdr:col>4</xdr:col>
      <xdr:colOff>611482</xdr:colOff>
      <xdr:row>690</xdr:row>
      <xdr:rowOff>47037</xdr:rowOff>
    </xdr:to>
    <xdr:sp macro="" textlink="">
      <xdr:nvSpPr>
        <xdr:cNvPr id="69" name="Down Arrow 68">
          <a:extLst>
            <a:ext uri="{FF2B5EF4-FFF2-40B4-BE49-F238E27FC236}">
              <a16:creationId xmlns:a16="http://schemas.microsoft.com/office/drawing/2014/main" id="{FFA6E5E2-A0C0-DDD6-F51B-024B9F87645A}"/>
            </a:ext>
          </a:extLst>
        </xdr:cNvPr>
        <xdr:cNvSpPr/>
      </xdr:nvSpPr>
      <xdr:spPr>
        <a:xfrm>
          <a:off x="13482555185" y="130751204"/>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429213</xdr:colOff>
      <xdr:row>689</xdr:row>
      <xdr:rowOff>29399</xdr:rowOff>
    </xdr:from>
    <xdr:to>
      <xdr:col>2</xdr:col>
      <xdr:colOff>540926</xdr:colOff>
      <xdr:row>690</xdr:row>
      <xdr:rowOff>111713</xdr:rowOff>
    </xdr:to>
    <xdr:sp macro="" textlink="">
      <xdr:nvSpPr>
        <xdr:cNvPr id="70" name="Down Arrow 69">
          <a:extLst>
            <a:ext uri="{FF2B5EF4-FFF2-40B4-BE49-F238E27FC236}">
              <a16:creationId xmlns:a16="http://schemas.microsoft.com/office/drawing/2014/main" id="{4D9E0EF1-884D-D950-05C4-F00734377BD2}"/>
            </a:ext>
          </a:extLst>
        </xdr:cNvPr>
        <xdr:cNvSpPr/>
      </xdr:nvSpPr>
      <xdr:spPr>
        <a:xfrm>
          <a:off x="13484272037" y="130815880"/>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78908</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0</xdr:colOff>
      <xdr:row>97</xdr:row>
      <xdr:rowOff>5336</xdr:rowOff>
    </xdr:from>
    <xdr:to>
      <xdr:col>5</xdr:col>
      <xdr:colOff>208109</xdr:colOff>
      <xdr:row>97</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96</xdr:row>
      <xdr:rowOff>442898</xdr:rowOff>
    </xdr:from>
    <xdr:to>
      <xdr:col>2</xdr:col>
      <xdr:colOff>720379</xdr:colOff>
      <xdr:row>96</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96</xdr:row>
      <xdr:rowOff>53360</xdr:rowOff>
    </xdr:from>
    <xdr:to>
      <xdr:col>4</xdr:col>
      <xdr:colOff>768404</xdr:colOff>
      <xdr:row>96</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96</xdr:row>
      <xdr:rowOff>37352</xdr:rowOff>
    </xdr:from>
    <xdr:to>
      <xdr:col>3</xdr:col>
      <xdr:colOff>747060</xdr:colOff>
      <xdr:row>96</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107</xdr:row>
      <xdr:rowOff>112060</xdr:rowOff>
    </xdr:from>
    <xdr:to>
      <xdr:col>9</xdr:col>
      <xdr:colOff>35324</xdr:colOff>
      <xdr:row>112</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106</xdr:row>
      <xdr:rowOff>90715</xdr:rowOff>
    </xdr:from>
    <xdr:to>
      <xdr:col>11</xdr:col>
      <xdr:colOff>197437</xdr:colOff>
      <xdr:row>109</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twoCellAnchor>
    <xdr:from>
      <xdr:col>5</xdr:col>
      <xdr:colOff>631825</xdr:colOff>
      <xdr:row>181</xdr:row>
      <xdr:rowOff>155575</xdr:rowOff>
    </xdr:from>
    <xdr:to>
      <xdr:col>6</xdr:col>
      <xdr:colOff>95250</xdr:colOff>
      <xdr:row>190</xdr:row>
      <xdr:rowOff>107950</xdr:rowOff>
    </xdr:to>
    <xdr:sp macro="" textlink="">
      <xdr:nvSpPr>
        <xdr:cNvPr id="2" name="Left Brace 1">
          <a:extLst>
            <a:ext uri="{FF2B5EF4-FFF2-40B4-BE49-F238E27FC236}">
              <a16:creationId xmlns:a16="http://schemas.microsoft.com/office/drawing/2014/main" id="{19F45375-4812-6240-9584-DE38A5432044}"/>
            </a:ext>
          </a:extLst>
        </xdr:cNvPr>
        <xdr:cNvSpPr/>
      </xdr:nvSpPr>
      <xdr:spPr>
        <a:xfrm>
          <a:off x="13520146950" y="25939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580300</xdr:colOff>
      <xdr:row>180</xdr:row>
      <xdr:rowOff>47106</xdr:rowOff>
    </xdr:from>
    <xdr:ext cx="2182599" cy="2212135"/>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C5461F1-D91B-6643-9189-95357E4D7C7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4926601" y="2282306"/>
          <a:ext cx="2182599" cy="221213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500708</xdr:colOff>
      <xdr:row>190</xdr:row>
      <xdr:rowOff>147674</xdr:rowOff>
    </xdr:from>
    <xdr:ext cx="966164" cy="1702473"/>
    <xdr:pic>
      <xdr:nvPicPr>
        <xdr:cNvPr id="4" name="Picture 3">
          <a:extLst>
            <a:ext uri="{FF2B5EF4-FFF2-40B4-BE49-F238E27FC236}">
              <a16:creationId xmlns:a16="http://schemas.microsoft.com/office/drawing/2014/main" id="{87E4666B-3AEA-6C45-93EC-253E9D4889C1}"/>
            </a:ext>
          </a:extLst>
        </xdr:cNvPr>
        <xdr:cNvPicPr>
          <a:picLocks noChangeAspect="1"/>
        </xdr:cNvPicPr>
      </xdr:nvPicPr>
      <xdr:blipFill>
        <a:blip xmlns:r="http://schemas.openxmlformats.org/officeDocument/2006/relationships" r:embed="rId3"/>
        <a:stretch>
          <a:fillRect/>
        </a:stretch>
      </xdr:blipFill>
      <xdr:spPr>
        <a:xfrm>
          <a:off x="13518775328" y="4414874"/>
          <a:ext cx="966164" cy="1702473"/>
        </a:xfrm>
        <a:prstGeom prst="rect">
          <a:avLst/>
        </a:prstGeom>
      </xdr:spPr>
    </xdr:pic>
    <xdr:clientData/>
  </xdr:oneCellAnchor>
  <xdr:twoCellAnchor>
    <xdr:from>
      <xdr:col>7</xdr:col>
      <xdr:colOff>755250</xdr:colOff>
      <xdr:row>191</xdr:row>
      <xdr:rowOff>135016</xdr:rowOff>
    </xdr:from>
    <xdr:to>
      <xdr:col>11</xdr:col>
      <xdr:colOff>147675</xdr:colOff>
      <xdr:row>199</xdr:row>
      <xdr:rowOff>101263</xdr:rowOff>
    </xdr:to>
    <xdr:sp macro="" textlink="">
      <xdr:nvSpPr>
        <xdr:cNvPr id="5" name="Rounded Rectangular Callout 4">
          <a:extLst>
            <a:ext uri="{FF2B5EF4-FFF2-40B4-BE49-F238E27FC236}">
              <a16:creationId xmlns:a16="http://schemas.microsoft.com/office/drawing/2014/main" id="{18CA9BE7-A7CC-4B4D-9ECB-426C6F17E56E}"/>
            </a:ext>
          </a:extLst>
        </xdr:cNvPr>
        <xdr:cNvSpPr/>
      </xdr:nvSpPr>
      <xdr:spPr>
        <a:xfrm>
          <a:off x="13515890825" y="4605416"/>
          <a:ext cx="2770625" cy="1591847"/>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twoCellAnchor editAs="oneCell">
    <xdr:from>
      <xdr:col>7</xdr:col>
      <xdr:colOff>56157</xdr:colOff>
      <xdr:row>293</xdr:row>
      <xdr:rowOff>197763</xdr:rowOff>
    </xdr:from>
    <xdr:to>
      <xdr:col>7</xdr:col>
      <xdr:colOff>715175</xdr:colOff>
      <xdr:row>298</xdr:row>
      <xdr:rowOff>8293</xdr:rowOff>
    </xdr:to>
    <xdr:pic>
      <xdr:nvPicPr>
        <xdr:cNvPr id="6" name="Picture 5">
          <a:extLst>
            <a:ext uri="{FF2B5EF4-FFF2-40B4-BE49-F238E27FC236}">
              <a16:creationId xmlns:a16="http://schemas.microsoft.com/office/drawing/2014/main" id="{06D00A21-E1CE-3247-ABCC-BF605D125887}"/>
            </a:ext>
          </a:extLst>
        </xdr:cNvPr>
        <xdr:cNvPicPr>
          <a:picLocks noChangeAspect="1"/>
        </xdr:cNvPicPr>
      </xdr:nvPicPr>
      <xdr:blipFill>
        <a:blip xmlns:r="http://schemas.openxmlformats.org/officeDocument/2006/relationships" r:embed="rId4"/>
        <a:stretch>
          <a:fillRect/>
        </a:stretch>
      </xdr:blipFill>
      <xdr:spPr>
        <a:xfrm>
          <a:off x="13518498325" y="3245763"/>
          <a:ext cx="659018" cy="826530"/>
        </a:xfrm>
        <a:prstGeom prst="rect">
          <a:avLst/>
        </a:prstGeom>
      </xdr:spPr>
    </xdr:pic>
    <xdr:clientData/>
  </xdr:twoCellAnchor>
  <xdr:twoCellAnchor>
    <xdr:from>
      <xdr:col>7</xdr:col>
      <xdr:colOff>768912</xdr:colOff>
      <xdr:row>290</xdr:row>
      <xdr:rowOff>116631</xdr:rowOff>
    </xdr:from>
    <xdr:to>
      <xdr:col>13</xdr:col>
      <xdr:colOff>177800</xdr:colOff>
      <xdr:row>300</xdr:row>
      <xdr:rowOff>187960</xdr:rowOff>
    </xdr:to>
    <xdr:sp macro="" textlink="">
      <xdr:nvSpPr>
        <xdr:cNvPr id="7" name="Rectangular Callout 6">
          <a:extLst>
            <a:ext uri="{FF2B5EF4-FFF2-40B4-BE49-F238E27FC236}">
              <a16:creationId xmlns:a16="http://schemas.microsoft.com/office/drawing/2014/main" id="{647B258D-4D92-FD49-9AB8-426447BC70D8}"/>
            </a:ext>
          </a:extLst>
        </xdr:cNvPr>
        <xdr:cNvSpPr/>
      </xdr:nvSpPr>
      <xdr:spPr>
        <a:xfrm>
          <a:off x="13514082700" y="2555031"/>
          <a:ext cx="4361888" cy="2103329"/>
        </a:xfrm>
        <a:prstGeom prst="wedgeRectCallout">
          <a:avLst>
            <a:gd name="adj1" fmla="val 52540"/>
            <a:gd name="adj2" fmla="val 150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קיבלתי רשימה לא מוכרת של</a:t>
          </a:r>
          <a:r>
            <a:rPr lang="he-IL" sz="1100" baseline="0">
              <a:latin typeface="David" panose="020E0502060401010101" pitchFamily="34" charset="-79"/>
              <a:cs typeface="David" panose="020E0502060401010101" pitchFamily="34" charset="-79"/>
            </a:rPr>
            <a:t> סעיפים שונים (סוגים של ערכים חשבונאיים) שכולם מהווים חלק מההון העצמי. </a:t>
          </a:r>
        </a:p>
        <a:p>
          <a:pPr algn="r" rtl="1"/>
          <a:r>
            <a:rPr lang="he-IL" sz="1100" baseline="0">
              <a:latin typeface="David" panose="020E0502060401010101" pitchFamily="34" charset="-79"/>
              <a:cs typeface="David" panose="020E0502060401010101" pitchFamily="34" charset="-79"/>
            </a:rPr>
            <a:t>אחריהם קיבלתי רשימה של עסקאות / אירועים / מידע נוסף, שעליי לבחון כיצד ישפיע על הרכיבים הללו.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בקטנה:</a:t>
          </a:r>
        </a:p>
        <a:p>
          <a:pPr algn="r" rtl="1"/>
          <a:r>
            <a:rPr lang="he-IL" sz="1100" baseline="0">
              <a:latin typeface="David" panose="020E0502060401010101" pitchFamily="34" charset="-79"/>
              <a:cs typeface="David" panose="020E0502060401010101" pitchFamily="34" charset="-79"/>
            </a:rPr>
            <a:t>הון מניות רגילות (מניות): ערך נקוב של מניות יש להתייחס אך ורק לערך שהונפק בפועל. </a:t>
          </a:r>
        </a:p>
        <a:p>
          <a:pPr algn="r" rtl="1"/>
          <a:r>
            <a:rPr lang="he-IL" sz="1100" baseline="0">
              <a:latin typeface="David" panose="020E0502060401010101" pitchFamily="34" charset="-79"/>
              <a:cs typeface="David" panose="020E0502060401010101" pitchFamily="34" charset="-79"/>
            </a:rPr>
            <a:t>הון מניות בכורה: מניות שזכאיות לדיבידנד ״לפני״ בעלי המניות הרגילות. </a:t>
          </a:r>
        </a:p>
        <a:p>
          <a:pPr algn="r" rtl="1"/>
          <a:r>
            <a:rPr lang="he-IL" sz="1100" baseline="0">
              <a:latin typeface="David" panose="020E0502060401010101" pitchFamily="34" charset="-79"/>
              <a:cs typeface="David" panose="020E0502060401010101" pitchFamily="34" charset="-79"/>
            </a:rPr>
            <a:t>פרמיה על מניות: ההפרש בין תמורת הנפקת מניות לערך הנקוב. </a:t>
          </a:r>
        </a:p>
        <a:p>
          <a:pPr algn="r" rtl="1"/>
          <a:r>
            <a:rPr lang="he-IL" sz="1100" baseline="0">
              <a:latin typeface="David" panose="020E0502060401010101" pitchFamily="34" charset="-79"/>
              <a:cs typeface="David" panose="020E0502060401010101" pitchFamily="34" charset="-79"/>
            </a:rPr>
            <a:t>קרן שיפוץ נקניק: סכום מההון שמיועד למטרה מסוימת. </a:t>
          </a:r>
        </a:p>
        <a:p>
          <a:pPr algn="r" rtl="1"/>
          <a:r>
            <a:rPr lang="he-IL" sz="1100" baseline="0">
              <a:latin typeface="David" panose="020E0502060401010101" pitchFamily="34" charset="-79"/>
              <a:cs typeface="David" panose="020E0502060401010101" pitchFamily="34" charset="-79"/>
            </a:rPr>
            <a:t>יתרת רווח: רווח מצטבר בחברה עד מועד הדיווח (עודפים).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הון רשום: ערך שנתעלם ממנו לצרכינו שכן מייצג מגבלה לביצוע ולא אירוע שקרה. </a:t>
          </a: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629691</xdr:colOff>
      <xdr:row>306</xdr:row>
      <xdr:rowOff>112324</xdr:rowOff>
    </xdr:from>
    <xdr:to>
      <xdr:col>3</xdr:col>
      <xdr:colOff>815262</xdr:colOff>
      <xdr:row>310</xdr:row>
      <xdr:rowOff>31137</xdr:rowOff>
    </xdr:to>
    <xdr:sp macro="" textlink="">
      <xdr:nvSpPr>
        <xdr:cNvPr id="8" name="Left Brace 7">
          <a:extLst>
            <a:ext uri="{FF2B5EF4-FFF2-40B4-BE49-F238E27FC236}">
              <a16:creationId xmlns:a16="http://schemas.microsoft.com/office/drawing/2014/main" id="{667F8F87-B01A-4D40-A744-EDDA8431DB55}"/>
            </a:ext>
          </a:extLst>
        </xdr:cNvPr>
        <xdr:cNvSpPr/>
      </xdr:nvSpPr>
      <xdr:spPr>
        <a:xfrm>
          <a:off x="13601715122" y="63827247"/>
          <a:ext cx="185571" cy="739428"/>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338667</xdr:colOff>
      <xdr:row>353</xdr:row>
      <xdr:rowOff>66523</xdr:rowOff>
    </xdr:from>
    <xdr:to>
      <xdr:col>5</xdr:col>
      <xdr:colOff>459620</xdr:colOff>
      <xdr:row>363</xdr:row>
      <xdr:rowOff>169333</xdr:rowOff>
    </xdr:to>
    <xdr:sp macro="" textlink="">
      <xdr:nvSpPr>
        <xdr:cNvPr id="9" name="Down Arrow 8">
          <a:extLst>
            <a:ext uri="{FF2B5EF4-FFF2-40B4-BE49-F238E27FC236}">
              <a16:creationId xmlns:a16="http://schemas.microsoft.com/office/drawing/2014/main" id="{FC56EDC4-1482-A840-AEA8-E1EC297E3187}"/>
            </a:ext>
          </a:extLst>
        </xdr:cNvPr>
        <xdr:cNvSpPr/>
      </xdr:nvSpPr>
      <xdr:spPr>
        <a:xfrm>
          <a:off x="13520404880" y="15306523"/>
          <a:ext cx="120953" cy="2134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332619</xdr:colOff>
      <xdr:row>353</xdr:row>
      <xdr:rowOff>6046</xdr:rowOff>
    </xdr:from>
    <xdr:to>
      <xdr:col>4</xdr:col>
      <xdr:colOff>453572</xdr:colOff>
      <xdr:row>373</xdr:row>
      <xdr:rowOff>96760</xdr:rowOff>
    </xdr:to>
    <xdr:sp macro="" textlink="">
      <xdr:nvSpPr>
        <xdr:cNvPr id="10" name="Down Arrow 9">
          <a:extLst>
            <a:ext uri="{FF2B5EF4-FFF2-40B4-BE49-F238E27FC236}">
              <a16:creationId xmlns:a16="http://schemas.microsoft.com/office/drawing/2014/main" id="{BE2811B6-D736-794C-8999-D17122B4AEF5}"/>
            </a:ext>
          </a:extLst>
        </xdr:cNvPr>
        <xdr:cNvSpPr/>
      </xdr:nvSpPr>
      <xdr:spPr>
        <a:xfrm>
          <a:off x="13521236428" y="15246046"/>
          <a:ext cx="120953" cy="4154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737134</xdr:colOff>
      <xdr:row>563</xdr:row>
      <xdr:rowOff>93252</xdr:rowOff>
    </xdr:from>
    <xdr:to>
      <xdr:col>5</xdr:col>
      <xdr:colOff>399651</xdr:colOff>
      <xdr:row>563</xdr:row>
      <xdr:rowOff>93252</xdr:rowOff>
    </xdr:to>
    <xdr:cxnSp macro="">
      <xdr:nvCxnSpPr>
        <xdr:cNvPr id="11" name="Straight Connector 10">
          <a:extLst>
            <a:ext uri="{FF2B5EF4-FFF2-40B4-BE49-F238E27FC236}">
              <a16:creationId xmlns:a16="http://schemas.microsoft.com/office/drawing/2014/main" id="{9B2D8A47-2F6D-A040-AF33-FC37A28454A4}"/>
            </a:ext>
          </a:extLst>
        </xdr:cNvPr>
        <xdr:cNvCxnSpPr/>
      </xdr:nvCxnSpPr>
      <xdr:spPr>
        <a:xfrm flipH="1">
          <a:off x="13520464849" y="1718745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567</xdr:row>
      <xdr:rowOff>88811</xdr:rowOff>
    </xdr:from>
    <xdr:to>
      <xdr:col>5</xdr:col>
      <xdr:colOff>386332</xdr:colOff>
      <xdr:row>567</xdr:row>
      <xdr:rowOff>88811</xdr:rowOff>
    </xdr:to>
    <xdr:cxnSp macro="">
      <xdr:nvCxnSpPr>
        <xdr:cNvPr id="12" name="Straight Connector 11">
          <a:extLst>
            <a:ext uri="{FF2B5EF4-FFF2-40B4-BE49-F238E27FC236}">
              <a16:creationId xmlns:a16="http://schemas.microsoft.com/office/drawing/2014/main" id="{4BC5D11A-B29A-9F45-BF17-D2A13C09D8AB}"/>
            </a:ext>
          </a:extLst>
        </xdr:cNvPr>
        <xdr:cNvCxnSpPr/>
      </xdr:nvCxnSpPr>
      <xdr:spPr>
        <a:xfrm flipH="1">
          <a:off x="13520478168" y="17843411"/>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573</xdr:row>
      <xdr:rowOff>102132</xdr:rowOff>
    </xdr:from>
    <xdr:to>
      <xdr:col>5</xdr:col>
      <xdr:colOff>368569</xdr:colOff>
      <xdr:row>573</xdr:row>
      <xdr:rowOff>102132</xdr:rowOff>
    </xdr:to>
    <xdr:cxnSp macro="">
      <xdr:nvCxnSpPr>
        <xdr:cNvPr id="13" name="Straight Connector 12">
          <a:extLst>
            <a:ext uri="{FF2B5EF4-FFF2-40B4-BE49-F238E27FC236}">
              <a16:creationId xmlns:a16="http://schemas.microsoft.com/office/drawing/2014/main" id="{B1014CD5-7C9B-474E-9F6E-EB3685078D03}"/>
            </a:ext>
          </a:extLst>
        </xdr:cNvPr>
        <xdr:cNvCxnSpPr/>
      </xdr:nvCxnSpPr>
      <xdr:spPr>
        <a:xfrm flipH="1">
          <a:off x="13520495931" y="1884733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577</xdr:row>
      <xdr:rowOff>75489</xdr:rowOff>
    </xdr:from>
    <xdr:to>
      <xdr:col>5</xdr:col>
      <xdr:colOff>359692</xdr:colOff>
      <xdr:row>577</xdr:row>
      <xdr:rowOff>84371</xdr:rowOff>
    </xdr:to>
    <xdr:cxnSp macro="">
      <xdr:nvCxnSpPr>
        <xdr:cNvPr id="14" name="Straight Connector 13">
          <a:extLst>
            <a:ext uri="{FF2B5EF4-FFF2-40B4-BE49-F238E27FC236}">
              <a16:creationId xmlns:a16="http://schemas.microsoft.com/office/drawing/2014/main" id="{2AD673D5-ECCD-6947-84B7-3D75D2ADA687}"/>
            </a:ext>
          </a:extLst>
        </xdr:cNvPr>
        <xdr:cNvCxnSpPr/>
      </xdr:nvCxnSpPr>
      <xdr:spPr>
        <a:xfrm flipV="1">
          <a:off x="13520504808" y="19481089"/>
          <a:ext cx="519107"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563</xdr:row>
      <xdr:rowOff>93252</xdr:rowOff>
    </xdr:from>
    <xdr:to>
      <xdr:col>5</xdr:col>
      <xdr:colOff>395211</xdr:colOff>
      <xdr:row>577</xdr:row>
      <xdr:rowOff>93252</xdr:rowOff>
    </xdr:to>
    <xdr:cxnSp macro="">
      <xdr:nvCxnSpPr>
        <xdr:cNvPr id="15" name="Straight Connector 14">
          <a:extLst>
            <a:ext uri="{FF2B5EF4-FFF2-40B4-BE49-F238E27FC236}">
              <a16:creationId xmlns:a16="http://schemas.microsoft.com/office/drawing/2014/main" id="{3B5BCD8B-B188-3640-A7C5-6121CC38B39B}"/>
            </a:ext>
          </a:extLst>
        </xdr:cNvPr>
        <xdr:cNvCxnSpPr/>
      </xdr:nvCxnSpPr>
      <xdr:spPr>
        <a:xfrm>
          <a:off x="13520469289" y="17187452"/>
          <a:ext cx="26644" cy="231140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169333</xdr:colOff>
      <xdr:row>539</xdr:row>
      <xdr:rowOff>134054</xdr:rowOff>
    </xdr:from>
    <xdr:to>
      <xdr:col>7</xdr:col>
      <xdr:colOff>733778</xdr:colOff>
      <xdr:row>541</xdr:row>
      <xdr:rowOff>42332</xdr:rowOff>
    </xdr:to>
    <xdr:sp macro="" textlink="">
      <xdr:nvSpPr>
        <xdr:cNvPr id="17" name="Left Brace 16">
          <a:extLst>
            <a:ext uri="{FF2B5EF4-FFF2-40B4-BE49-F238E27FC236}">
              <a16:creationId xmlns:a16="http://schemas.microsoft.com/office/drawing/2014/main" id="{20B084F7-0C81-EC30-C130-49435A520C37}"/>
            </a:ext>
          </a:extLst>
        </xdr:cNvPr>
        <xdr:cNvSpPr/>
      </xdr:nvSpPr>
      <xdr:spPr>
        <a:xfrm rot="16200000">
          <a:off x="13519471028" y="119665748"/>
          <a:ext cx="232834" cy="221544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416278</xdr:colOff>
      <xdr:row>540</xdr:row>
      <xdr:rowOff>70555</xdr:rowOff>
    </xdr:from>
    <xdr:to>
      <xdr:col>8</xdr:col>
      <xdr:colOff>261056</xdr:colOff>
      <xdr:row>541</xdr:row>
      <xdr:rowOff>98777</xdr:rowOff>
    </xdr:to>
    <xdr:cxnSp macro="">
      <xdr:nvCxnSpPr>
        <xdr:cNvPr id="19" name="Straight Arrow Connector 18">
          <a:extLst>
            <a:ext uri="{FF2B5EF4-FFF2-40B4-BE49-F238E27FC236}">
              <a16:creationId xmlns:a16="http://schemas.microsoft.com/office/drawing/2014/main" id="{81D13CC1-3035-3B3A-B389-909B27D2DB6F}"/>
            </a:ext>
          </a:extLst>
        </xdr:cNvPr>
        <xdr:cNvCxnSpPr/>
      </xdr:nvCxnSpPr>
      <xdr:spPr>
        <a:xfrm>
          <a:off x="13518126944" y="120755833"/>
          <a:ext cx="670278" cy="19050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787399</xdr:colOff>
      <xdr:row>607</xdr:row>
      <xdr:rowOff>93133</xdr:rowOff>
    </xdr:from>
    <xdr:to>
      <xdr:col>4</xdr:col>
      <xdr:colOff>778933</xdr:colOff>
      <xdr:row>607</xdr:row>
      <xdr:rowOff>110067</xdr:rowOff>
    </xdr:to>
    <xdr:cxnSp macro="">
      <xdr:nvCxnSpPr>
        <xdr:cNvPr id="21" name="Straight Arrow Connector 20">
          <a:extLst>
            <a:ext uri="{FF2B5EF4-FFF2-40B4-BE49-F238E27FC236}">
              <a16:creationId xmlns:a16="http://schemas.microsoft.com/office/drawing/2014/main" id="{91D0CB3C-747A-49A5-96DD-ACD4DA5E40CD}"/>
            </a:ext>
          </a:extLst>
        </xdr:cNvPr>
        <xdr:cNvCxnSpPr/>
      </xdr:nvCxnSpPr>
      <xdr:spPr>
        <a:xfrm flipV="1">
          <a:off x="13590253067" y="153864733"/>
          <a:ext cx="1651000" cy="169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736600</xdr:colOff>
      <xdr:row>607</xdr:row>
      <xdr:rowOff>33867</xdr:rowOff>
    </xdr:from>
    <xdr:to>
      <xdr:col>8</xdr:col>
      <xdr:colOff>152399</xdr:colOff>
      <xdr:row>608</xdr:row>
      <xdr:rowOff>67733</xdr:rowOff>
    </xdr:to>
    <xdr:sp macro="" textlink="">
      <xdr:nvSpPr>
        <xdr:cNvPr id="28" name="Rounded Rectangle 27">
          <a:extLst>
            <a:ext uri="{FF2B5EF4-FFF2-40B4-BE49-F238E27FC236}">
              <a16:creationId xmlns:a16="http://schemas.microsoft.com/office/drawing/2014/main" id="{F1C30BD9-823F-93A7-014D-45669B86F59E}"/>
            </a:ext>
          </a:extLst>
        </xdr:cNvPr>
        <xdr:cNvSpPr/>
      </xdr:nvSpPr>
      <xdr:spPr>
        <a:xfrm>
          <a:off x="13587560667" y="153805467"/>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2</xdr:col>
      <xdr:colOff>499533</xdr:colOff>
      <xdr:row>606</xdr:row>
      <xdr:rowOff>194733</xdr:rowOff>
    </xdr:from>
    <xdr:to>
      <xdr:col>2</xdr:col>
      <xdr:colOff>745066</xdr:colOff>
      <xdr:row>608</xdr:row>
      <xdr:rowOff>25399</xdr:rowOff>
    </xdr:to>
    <xdr:sp macro="" textlink="">
      <xdr:nvSpPr>
        <xdr:cNvPr id="29" name="Rounded Rectangle 28">
          <a:extLst>
            <a:ext uri="{FF2B5EF4-FFF2-40B4-BE49-F238E27FC236}">
              <a16:creationId xmlns:a16="http://schemas.microsoft.com/office/drawing/2014/main" id="{52A5D5AC-B400-D7A6-18BA-2FAD34596F11}"/>
            </a:ext>
          </a:extLst>
        </xdr:cNvPr>
        <xdr:cNvSpPr/>
      </xdr:nvSpPr>
      <xdr:spPr>
        <a:xfrm>
          <a:off x="13591946400" y="153763133"/>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2</xdr:col>
      <xdr:colOff>508000</xdr:colOff>
      <xdr:row>605</xdr:row>
      <xdr:rowOff>135466</xdr:rowOff>
    </xdr:from>
    <xdr:to>
      <xdr:col>2</xdr:col>
      <xdr:colOff>753533</xdr:colOff>
      <xdr:row>606</xdr:row>
      <xdr:rowOff>169332</xdr:rowOff>
    </xdr:to>
    <xdr:sp macro="" textlink="">
      <xdr:nvSpPr>
        <xdr:cNvPr id="30" name="Rounded Rectangle 29">
          <a:extLst>
            <a:ext uri="{FF2B5EF4-FFF2-40B4-BE49-F238E27FC236}">
              <a16:creationId xmlns:a16="http://schemas.microsoft.com/office/drawing/2014/main" id="{687C5A8C-A45B-DAFB-1166-16278350043E}"/>
            </a:ext>
          </a:extLst>
        </xdr:cNvPr>
        <xdr:cNvSpPr/>
      </xdr:nvSpPr>
      <xdr:spPr>
        <a:xfrm>
          <a:off x="13591937933" y="153500666"/>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9</xdr:col>
      <xdr:colOff>50969</xdr:colOff>
      <xdr:row>52</xdr:row>
      <xdr:rowOff>59465</xdr:rowOff>
    </xdr:from>
    <xdr:to>
      <xdr:col>9</xdr:col>
      <xdr:colOff>59464</xdr:colOff>
      <xdr:row>65</xdr:row>
      <xdr:rowOff>93445</xdr:rowOff>
    </xdr:to>
    <xdr:cxnSp macro="">
      <xdr:nvCxnSpPr>
        <xdr:cNvPr id="2" name="Straight Arrow Connector 1">
          <a:extLst>
            <a:ext uri="{FF2B5EF4-FFF2-40B4-BE49-F238E27FC236}">
              <a16:creationId xmlns:a16="http://schemas.microsoft.com/office/drawing/2014/main" id="{333F1CD3-C482-7547-8401-8B7B97ABE72B}"/>
            </a:ext>
          </a:extLst>
        </xdr:cNvPr>
        <xdr:cNvCxnSpPr/>
      </xdr:nvCxnSpPr>
      <xdr:spPr>
        <a:xfrm>
          <a:off x="13517503036" y="136317765"/>
          <a:ext cx="8495" cy="267558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4</xdr:col>
      <xdr:colOff>737134</xdr:colOff>
      <xdr:row>103</xdr:row>
      <xdr:rowOff>93252</xdr:rowOff>
    </xdr:from>
    <xdr:to>
      <xdr:col>5</xdr:col>
      <xdr:colOff>399651</xdr:colOff>
      <xdr:row>103</xdr:row>
      <xdr:rowOff>93252</xdr:rowOff>
    </xdr:to>
    <xdr:cxnSp macro="">
      <xdr:nvCxnSpPr>
        <xdr:cNvPr id="3" name="Straight Connector 2">
          <a:extLst>
            <a:ext uri="{FF2B5EF4-FFF2-40B4-BE49-F238E27FC236}">
              <a16:creationId xmlns:a16="http://schemas.microsoft.com/office/drawing/2014/main" id="{86E32B5B-9AB9-6A0E-20AC-1215C85E04D0}"/>
            </a:ext>
          </a:extLst>
        </xdr:cNvPr>
        <xdr:cNvCxnSpPr/>
      </xdr:nvCxnSpPr>
      <xdr:spPr>
        <a:xfrm flipH="1">
          <a:off x="13527738042" y="17096154"/>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107</xdr:row>
      <xdr:rowOff>88811</xdr:rowOff>
    </xdr:from>
    <xdr:to>
      <xdr:col>5</xdr:col>
      <xdr:colOff>386332</xdr:colOff>
      <xdr:row>107</xdr:row>
      <xdr:rowOff>88811</xdr:rowOff>
    </xdr:to>
    <xdr:cxnSp macro="">
      <xdr:nvCxnSpPr>
        <xdr:cNvPr id="4" name="Straight Connector 3">
          <a:extLst>
            <a:ext uri="{FF2B5EF4-FFF2-40B4-BE49-F238E27FC236}">
              <a16:creationId xmlns:a16="http://schemas.microsoft.com/office/drawing/2014/main" id="{1A7219A6-DB9C-52DA-CCE6-5CC0FC843269}"/>
            </a:ext>
          </a:extLst>
        </xdr:cNvPr>
        <xdr:cNvCxnSpPr/>
      </xdr:nvCxnSpPr>
      <xdr:spPr>
        <a:xfrm flipH="1">
          <a:off x="13527751361" y="17748916"/>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113</xdr:row>
      <xdr:rowOff>102132</xdr:rowOff>
    </xdr:from>
    <xdr:to>
      <xdr:col>5</xdr:col>
      <xdr:colOff>368569</xdr:colOff>
      <xdr:row>113</xdr:row>
      <xdr:rowOff>102132</xdr:rowOff>
    </xdr:to>
    <xdr:cxnSp macro="">
      <xdr:nvCxnSpPr>
        <xdr:cNvPr id="5" name="Straight Connector 4">
          <a:extLst>
            <a:ext uri="{FF2B5EF4-FFF2-40B4-BE49-F238E27FC236}">
              <a16:creationId xmlns:a16="http://schemas.microsoft.com/office/drawing/2014/main" id="{A158AB3A-817F-8144-9910-10E5B1C8F38A}"/>
            </a:ext>
          </a:extLst>
        </xdr:cNvPr>
        <xdr:cNvCxnSpPr/>
      </xdr:nvCxnSpPr>
      <xdr:spPr>
        <a:xfrm flipH="1">
          <a:off x="13527769124" y="18748041"/>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117</xdr:row>
      <xdr:rowOff>75489</xdr:rowOff>
    </xdr:from>
    <xdr:to>
      <xdr:col>5</xdr:col>
      <xdr:colOff>359692</xdr:colOff>
      <xdr:row>117</xdr:row>
      <xdr:rowOff>84371</xdr:rowOff>
    </xdr:to>
    <xdr:cxnSp macro="">
      <xdr:nvCxnSpPr>
        <xdr:cNvPr id="9" name="Straight Connector 8">
          <a:extLst>
            <a:ext uri="{FF2B5EF4-FFF2-40B4-BE49-F238E27FC236}">
              <a16:creationId xmlns:a16="http://schemas.microsoft.com/office/drawing/2014/main" id="{D0E78E71-5313-06D2-D6F6-616BB7DFE29A}"/>
            </a:ext>
          </a:extLst>
        </xdr:cNvPr>
        <xdr:cNvCxnSpPr/>
      </xdr:nvCxnSpPr>
      <xdr:spPr>
        <a:xfrm flipV="1">
          <a:off x="13527778001" y="19378601"/>
          <a:ext cx="519551"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103</xdr:row>
      <xdr:rowOff>93252</xdr:rowOff>
    </xdr:from>
    <xdr:to>
      <xdr:col>5</xdr:col>
      <xdr:colOff>395211</xdr:colOff>
      <xdr:row>117</xdr:row>
      <xdr:rowOff>93252</xdr:rowOff>
    </xdr:to>
    <xdr:cxnSp macro="">
      <xdr:nvCxnSpPr>
        <xdr:cNvPr id="10" name="Straight Connector 9">
          <a:extLst>
            <a:ext uri="{FF2B5EF4-FFF2-40B4-BE49-F238E27FC236}">
              <a16:creationId xmlns:a16="http://schemas.microsoft.com/office/drawing/2014/main" id="{B2C5C25D-3461-8A5C-E884-8BE4AF649BDC}"/>
            </a:ext>
          </a:extLst>
        </xdr:cNvPr>
        <xdr:cNvCxnSpPr/>
      </xdr:nvCxnSpPr>
      <xdr:spPr>
        <a:xfrm>
          <a:off x="13527742482" y="17096154"/>
          <a:ext cx="26644" cy="230021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50969</xdr:colOff>
      <xdr:row>167</xdr:row>
      <xdr:rowOff>59465</xdr:rowOff>
    </xdr:from>
    <xdr:to>
      <xdr:col>9</xdr:col>
      <xdr:colOff>59464</xdr:colOff>
      <xdr:row>180</xdr:row>
      <xdr:rowOff>93445</xdr:rowOff>
    </xdr:to>
    <xdr:cxnSp macro="">
      <xdr:nvCxnSpPr>
        <xdr:cNvPr id="15" name="Straight Arrow Connector 14">
          <a:extLst>
            <a:ext uri="{FF2B5EF4-FFF2-40B4-BE49-F238E27FC236}">
              <a16:creationId xmlns:a16="http://schemas.microsoft.com/office/drawing/2014/main" id="{7EFFD3B0-E7AE-B793-D877-36F3DE552D54}"/>
            </a:ext>
          </a:extLst>
        </xdr:cNvPr>
        <xdr:cNvCxnSpPr/>
      </xdr:nvCxnSpPr>
      <xdr:spPr>
        <a:xfrm>
          <a:off x="13493159599" y="27825318"/>
          <a:ext cx="8495" cy="2187458"/>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 displayName="Tsaban Shay" id="{E41B8493-0408-8E4F-934B-40255AAA2D4E}" userId="S::39038328@colman.ac.il::5a7edf97-f1c8-4390-85ec-3e67103a6fc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83"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 ref="F531" dT="2024-05-15T05:53:35.78" personId="{6D5E9192-420A-FB45-A14C-9DAB1DBF6AA5}" id="{030B7A2B-5EB6-9945-9553-074AFF1BB3D7}">
    <text>על פי נתוני המקור בשאלה: פחת נצבר ל-31.12.2020 הוא 30,000, ופחת נצבר ל-31.12.2021 הוא 45,000. בהיעדר נתוני מכירות, ההפרש בין הערכים משקף את הוצאות הפחת</text>
  </threadedComment>
  <threadedComment ref="G531" dT="2024-05-15T05:58:05.91" personId="{6D5E9192-420A-FB45-A14C-9DAB1DBF6AA5}" id="{9675637C-C473-7842-B8BB-F5F9FE8F000C}">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535" dT="2024-05-15T06:01:08.24" personId="{6D5E9192-420A-FB45-A14C-9DAB1DBF6AA5}" id="{66908BF6-602F-8140-9EA9-11FE5D17C2CE}">
    <text>כאשר נתון שהחברה לא פרעה הלוואות לזמן ארוך המשמעות היא שהשינוי ביתרה נובע מנטילת הלוואות לזמן ארוך, בלבד - הסימן חיובי</text>
  </threadedComment>
  <threadedComment ref="H537" dT="2025-04-24T16:22:18.48" personId="{E41B8493-0408-8E4F-934B-40255AAA2D4E}" id="{C656CCAB-BF87-5B45-9DF6-816066362353}">
    <text>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ext>
  </threadedComment>
  <threadedComment ref="F539" dT="2024-05-15T06:06:52.16" personId="{6D5E9192-420A-FB45-A14C-9DAB1DBF6AA5}" id="{4DB201F8-2991-094E-8D12-18817AC77D42}">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H539" dT="2025-04-24T16:23:44.92" personId="{E41B8493-0408-8E4F-934B-40255AAA2D4E}" id="{A7BAB007-2DA9-3A46-8E4D-9B235D7BA706}">
    <text>הכרזה וחלוקה / תשלום של דיבידנד השנה תרשם בקטגוריית יתרת הרווח (עודפים) בסימן שלילי, תחת פעילות מימון</text>
  </threadedComment>
</ThreadedComments>
</file>

<file path=xl/threadedComments/threadedComment2.xml><?xml version="1.0" encoding="utf-8"?>
<ThreadedComments xmlns="http://schemas.microsoft.com/office/spreadsheetml/2018/threadedcomments" xmlns:x="http://schemas.openxmlformats.org/spreadsheetml/2006/main">
  <threadedComment ref="G53" dT="2024-05-15T07:10:44.82" personId="{6D5E9192-420A-FB45-A14C-9DAB1DBF6AA5}" id="{35C727F4-D045-6948-A20A-C5088B294C34}">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53" dT="2024-05-15T07:03:52.08" personId="{6D5E9192-420A-FB45-A14C-9DAB1DBF6AA5}" id="{77645608-EDC9-264D-9703-04CA80D9F353}">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66" dT="2024-05-15T07:04:54.40" personId="{6D5E9192-420A-FB45-A14C-9DAB1DBF6AA5}" id="{583EDAC0-074E-9040-BBA6-68ADDDF0826E}">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70" dT="2024-05-15T06:42:43.11" personId="{6D5E9192-420A-FB45-A14C-9DAB1DBF6AA5}" id="{240961A9-41BA-234C-846B-E417B4E939FE}">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threadedComments/threadedComment3.xml><?xml version="1.0" encoding="utf-8"?>
<ThreadedComments xmlns="http://schemas.microsoft.com/office/spreadsheetml/2018/threadedcomments" xmlns:x="http://schemas.openxmlformats.org/spreadsheetml/2006/main">
  <threadedComment ref="F73" dT="2024-05-15T05:53:35.78" personId="{6D5E9192-420A-FB45-A14C-9DAB1DBF6AA5}" id="{EF48B80F-D26F-8B43-AA1B-3831DF717766}">
    <text>על פי נתוני המקור בשאלה: פחת נצבר ל-31.12.2020 הוא 30,000, ופחת נצבר ל-31.12.2021 הוא 45,000. בהיעדר נתוני מכירות, ההפרש בין הערכים משקף את הוצאות הפחת</text>
  </threadedComment>
  <threadedComment ref="G73" dT="2024-05-15T05:58:05.91" personId="{6D5E9192-420A-FB45-A14C-9DAB1DBF6AA5}" id="{71AE266C-52FA-7742-8090-E32C1BA6CD33}">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77" dT="2024-05-15T06:01:08.24" personId="{6D5E9192-420A-FB45-A14C-9DAB1DBF6AA5}" id="{41776008-0B20-AC48-9424-53F8B43F00D0}">
    <text>כאשר נתון שהחברה לא פרעה הלוואות לזמן ארוך המשמעות היא שהשינוי ביתרה נובע מנטילת הלוואות לזמן ארוך, בלבד - הסימן חיובי</text>
  </threadedComment>
  <threadedComment ref="F81" dT="2024-05-15T06:06:52.16" personId="{6D5E9192-420A-FB45-A14C-9DAB1DBF6AA5}" id="{5A578B37-0EA2-214C-ABFC-3497C798F079}">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G168" dT="2024-05-15T07:10:44.82" personId="{6D5E9192-420A-FB45-A14C-9DAB1DBF6AA5}" id="{C7FD8388-052E-6D41-A30A-D682D5A7DB8B}">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168" dT="2024-05-15T07:03:52.08" personId="{6D5E9192-420A-FB45-A14C-9DAB1DBF6AA5}" id="{F429F4F9-0762-7940-B937-40B3835D64D6}">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181" dT="2024-05-15T07:04:54.40" personId="{6D5E9192-420A-FB45-A14C-9DAB1DBF6AA5}" id="{A6B16C4B-FA0C-254E-BDCB-1CA46DC9FC54}">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185" dT="2024-05-15T06:42:43.11" personId="{6D5E9192-420A-FB45-A14C-9DAB1DBF6AA5}" id="{E150AE5E-33BC-114E-881A-34DAF0A28AE5}">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4.xml"/><Relationship Id="rId4" Type="http://schemas.microsoft.com/office/2017/10/relationships/threadedComment" Target="../threadedComments/threadedComment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5.xml"/><Relationship Id="rId4" Type="http://schemas.microsoft.com/office/2017/10/relationships/threadedComment" Target="../threadedComments/threadedComment2.xml"/></Relationships>
</file>

<file path=xl/worksheets/_rels/sheet7.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6.xml"/><Relationship Id="rId4" Type="http://schemas.microsoft.com/office/2017/10/relationships/threadedComment" Target="../threadedComments/threadedComment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746"/>
  <sheetViews>
    <sheetView showGridLines="0" rightToLeft="1" topLeftCell="A378" zoomScale="219" zoomScaleNormal="280" workbookViewId="0">
      <selection activeCell="C323" sqref="C323"/>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694" t="s">
        <v>40</v>
      </c>
      <c r="B80" s="695"/>
      <c r="C80" s="695"/>
      <c r="D80" s="695"/>
      <c r="E80" s="695"/>
      <c r="F80" s="695"/>
      <c r="G80" s="695"/>
      <c r="H80" s="696"/>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702" t="s">
        <v>393</v>
      </c>
      <c r="D106" s="703"/>
      <c r="E106" s="704"/>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702" t="s">
        <v>51</v>
      </c>
      <c r="D107" s="703"/>
      <c r="E107" s="704"/>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697" t="s">
        <v>53</v>
      </c>
      <c r="D108" s="698"/>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699" t="s">
        <v>290</v>
      </c>
      <c r="E117" s="700"/>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701" t="s">
        <v>291</v>
      </c>
      <c r="C120" s="701"/>
      <c r="D120" s="701"/>
      <c r="E120" s="701"/>
      <c r="F120" s="701"/>
      <c r="G120" s="701"/>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642" t="s">
        <v>1873</v>
      </c>
      <c r="B199" s="643"/>
      <c r="C199" s="643"/>
      <c r="D199" s="643"/>
      <c r="E199" s="643"/>
      <c r="F199" s="643"/>
      <c r="G199" s="643"/>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1874</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1875</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1876</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1877</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1878</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1879</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1880</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1881</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1882</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1883</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1884</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1885</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1886</v>
      </c>
      <c r="B218" s="4" t="s">
        <v>1887</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686" t="s">
        <v>98</v>
      </c>
      <c r="C223" s="687"/>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705"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706"/>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705" t="s">
        <v>399</v>
      </c>
      <c r="B230" s="122" t="s">
        <v>397</v>
      </c>
      <c r="C230" s="100"/>
      <c r="D230" s="83">
        <v>100</v>
      </c>
      <c r="E230" s="83">
        <v>130</v>
      </c>
      <c r="F230" s="2"/>
      <c r="G230" s="2" t="s">
        <v>1888</v>
      </c>
      <c r="H230" s="2"/>
      <c r="I230" s="2"/>
      <c r="J230" s="2"/>
      <c r="K230" s="2"/>
      <c r="L230" s="2"/>
      <c r="M230" s="2"/>
      <c r="N230" s="2"/>
      <c r="O230" s="2"/>
      <c r="P230" s="2"/>
      <c r="Q230" s="2"/>
      <c r="R230" s="2"/>
      <c r="S230" s="2"/>
      <c r="T230" s="2"/>
      <c r="U230" s="2"/>
      <c r="V230" s="2"/>
      <c r="W230" s="2"/>
      <c r="X230" s="2"/>
      <c r="Y230" s="2"/>
      <c r="Z230" s="2"/>
    </row>
    <row r="231" spans="1:26" ht="17" thickBot="1">
      <c r="A231" s="706"/>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705"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706"/>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705"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706"/>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688"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689"/>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690"/>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691"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692"/>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691"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692"/>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692"/>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691"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692"/>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691"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692"/>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692"/>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693"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692"/>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692"/>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692"/>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642" t="s">
        <v>1889</v>
      </c>
      <c r="B800" s="643"/>
      <c r="C800" s="643"/>
      <c r="D800" s="643"/>
      <c r="E800" s="643"/>
      <c r="F800" s="643"/>
      <c r="G800" s="643"/>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1890</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1891</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1892</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1893</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1894</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1895</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44" t="s">
        <v>1896</v>
      </c>
      <c r="B812" s="644"/>
      <c r="C812" s="644"/>
      <c r="D812" s="644"/>
      <c r="E812" s="644"/>
      <c r="F812" s="644"/>
      <c r="G812" s="644"/>
      <c r="H812" s="2"/>
      <c r="I812" s="2"/>
      <c r="J812" s="2"/>
      <c r="K812" s="2"/>
      <c r="L812" s="2"/>
      <c r="M812" s="2"/>
      <c r="N812" s="2"/>
      <c r="O812" s="2"/>
      <c r="P812" s="2"/>
      <c r="Q812" s="2"/>
      <c r="R812" s="2"/>
      <c r="S812" s="2"/>
      <c r="T812" s="2"/>
      <c r="U812" s="2"/>
      <c r="V812" s="2"/>
      <c r="W812" s="2"/>
      <c r="X812" s="2"/>
      <c r="Y812" s="2"/>
      <c r="Z812" s="2"/>
    </row>
    <row r="813" spans="1:26" ht="16">
      <c r="A813" s="2"/>
      <c r="B813" s="2" t="s">
        <v>1897</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1898</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1899</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1900</v>
      </c>
      <c r="B817" s="89" t="s">
        <v>1901</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1902</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1903</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1904</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1927</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1905</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1906</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1907</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1908</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1909</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1910</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1911</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1912</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1913</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1914</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1915</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1916</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1917</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1918</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1919</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1936</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1920</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1921</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1943</v>
      </c>
      <c r="B841" s="552"/>
      <c r="C841" s="552"/>
      <c r="D841" s="552"/>
      <c r="E841" s="552"/>
      <c r="F841" s="552"/>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1922</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1900</v>
      </c>
      <c r="B845" s="34" t="s">
        <v>1901</v>
      </c>
      <c r="C845" s="685" t="s">
        <v>131</v>
      </c>
      <c r="D845" s="685"/>
      <c r="E845" s="685"/>
      <c r="F845" s="685"/>
      <c r="G845" s="649" t="s">
        <v>196</v>
      </c>
      <c r="H845" s="635"/>
      <c r="I845" s="684" t="s">
        <v>78</v>
      </c>
      <c r="J845" s="684"/>
      <c r="K845" s="684"/>
      <c r="L845" s="684"/>
      <c r="M845" s="684"/>
      <c r="N845" s="2"/>
      <c r="O845" s="2"/>
      <c r="P845" s="2"/>
      <c r="Q845" s="2"/>
      <c r="R845" s="2"/>
      <c r="S845" s="2"/>
      <c r="T845" s="2"/>
      <c r="U845" s="2"/>
      <c r="V845" s="2"/>
      <c r="W845" s="2"/>
      <c r="X845" s="2"/>
      <c r="Y845" s="2"/>
      <c r="Z845" s="2"/>
    </row>
    <row r="846" spans="1:26" ht="16">
      <c r="A846" s="34"/>
      <c r="B846" s="34"/>
      <c r="C846" s="650" t="s">
        <v>66</v>
      </c>
      <c r="D846" s="650" t="s">
        <v>1932</v>
      </c>
      <c r="E846" s="650" t="s">
        <v>493</v>
      </c>
      <c r="F846" s="650" t="s">
        <v>1546</v>
      </c>
      <c r="G846" s="649" t="s">
        <v>1925</v>
      </c>
      <c r="H846" s="649" t="s">
        <v>1941</v>
      </c>
      <c r="I846" s="648" t="s">
        <v>1923</v>
      </c>
      <c r="J846" s="648"/>
      <c r="K846" s="648"/>
      <c r="L846" s="648"/>
      <c r="M846" s="185"/>
      <c r="N846" s="2"/>
      <c r="O846" s="2"/>
      <c r="P846" s="2"/>
      <c r="Q846" s="2"/>
      <c r="R846" s="2"/>
      <c r="S846" s="2"/>
      <c r="T846" s="2"/>
      <c r="U846" s="2"/>
      <c r="V846" s="2"/>
      <c r="W846" s="2"/>
      <c r="X846" s="2"/>
      <c r="Y846" s="2"/>
      <c r="Z846" s="2"/>
    </row>
    <row r="847" spans="1:26" ht="16">
      <c r="A847" s="34"/>
      <c r="B847" s="34"/>
      <c r="C847" s="650"/>
      <c r="D847" s="650"/>
      <c r="E847" s="651"/>
      <c r="F847" s="651"/>
      <c r="G847" s="649"/>
      <c r="H847" s="635"/>
      <c r="I847" s="648" t="s">
        <v>197</v>
      </c>
      <c r="J847" s="648" t="s">
        <v>540</v>
      </c>
      <c r="K847" s="648" t="s">
        <v>1929</v>
      </c>
      <c r="L847" s="648" t="s">
        <v>993</v>
      </c>
      <c r="M847" s="185" t="s">
        <v>123</v>
      </c>
      <c r="N847" s="34" t="s">
        <v>1942</v>
      </c>
      <c r="O847" s="2"/>
      <c r="P847" s="2"/>
      <c r="Q847" s="2"/>
      <c r="R847" s="2"/>
      <c r="S847" s="2"/>
      <c r="T847" s="2"/>
      <c r="U847" s="2"/>
      <c r="V847" s="2"/>
      <c r="W847" s="2"/>
      <c r="X847" s="2"/>
      <c r="Y847" s="2"/>
      <c r="Z847" s="2"/>
    </row>
    <row r="848" spans="1:26" ht="16">
      <c r="A848" s="34">
        <v>1</v>
      </c>
      <c r="B848" s="645" t="s">
        <v>1598</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45" t="s">
        <v>1924</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46" t="s">
        <v>1926</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1928</v>
      </c>
      <c r="C851" s="469">
        <v>-70000</v>
      </c>
      <c r="D851" s="34"/>
      <c r="E851" s="34"/>
      <c r="G851" s="34"/>
      <c r="I851" s="34"/>
      <c r="J851" s="34"/>
      <c r="K851" s="34"/>
      <c r="L851" s="469">
        <f>C851</f>
        <v>-70000</v>
      </c>
      <c r="M851" s="2"/>
      <c r="N851" s="49">
        <f t="shared" si="17"/>
        <v>0</v>
      </c>
      <c r="O851" s="2"/>
      <c r="P851" s="2"/>
      <c r="Q851" s="2"/>
      <c r="R851" s="2"/>
      <c r="S851" s="2"/>
      <c r="T851" s="2"/>
      <c r="U851" s="2"/>
      <c r="V851" s="2"/>
      <c r="W851" s="2"/>
      <c r="X851" s="2"/>
      <c r="Y851" s="2"/>
      <c r="Z851" s="2"/>
    </row>
    <row r="852" spans="1:26" ht="16">
      <c r="A852" s="34">
        <v>5</v>
      </c>
      <c r="B852" s="34" t="s">
        <v>574</v>
      </c>
      <c r="C852" s="469">
        <v>-7000</v>
      </c>
      <c r="D852" s="34"/>
      <c r="E852" s="34"/>
      <c r="G852" s="34"/>
      <c r="I852" s="34"/>
      <c r="J852" s="34"/>
      <c r="K852" s="34"/>
      <c r="L852" s="469">
        <v>-7000</v>
      </c>
      <c r="M852" s="2"/>
      <c r="N852" s="49">
        <f t="shared" si="17"/>
        <v>0</v>
      </c>
      <c r="O852" s="2"/>
      <c r="P852" s="2"/>
      <c r="Q852" s="2"/>
      <c r="R852" s="2"/>
      <c r="S852" s="2"/>
      <c r="T852" s="2"/>
      <c r="U852" s="2"/>
      <c r="V852" s="2"/>
      <c r="W852" s="2"/>
      <c r="X852" s="2"/>
      <c r="Y852" s="2"/>
      <c r="Z852" s="2"/>
    </row>
    <row r="853" spans="1:26" ht="16">
      <c r="A853" s="34">
        <v>6</v>
      </c>
      <c r="B853" s="34" t="s">
        <v>1930</v>
      </c>
      <c r="C853" s="469">
        <v>-5000</v>
      </c>
      <c r="D853" s="34"/>
      <c r="E853" s="34"/>
      <c r="G853" s="34"/>
      <c r="I853" s="34"/>
      <c r="J853" s="34"/>
      <c r="K853" s="34"/>
      <c r="L853" s="469">
        <v>-5000</v>
      </c>
      <c r="M853" s="2"/>
      <c r="N853" s="49">
        <f t="shared" si="17"/>
        <v>0</v>
      </c>
      <c r="O853" s="2"/>
      <c r="P853" s="2"/>
      <c r="Q853" s="2"/>
      <c r="R853" s="2"/>
      <c r="S853" s="2"/>
      <c r="T853" s="2"/>
      <c r="U853" s="2"/>
      <c r="V853" s="2"/>
      <c r="W853" s="2"/>
      <c r="X853" s="2"/>
      <c r="Y853" s="2"/>
      <c r="Z853" s="2"/>
    </row>
    <row r="854" spans="1:26" ht="16">
      <c r="A854" s="34">
        <v>7</v>
      </c>
      <c r="B854" s="34" t="s">
        <v>1931</v>
      </c>
      <c r="C854" s="469">
        <v>-17000</v>
      </c>
      <c r="D854" s="34"/>
      <c r="E854" s="34"/>
      <c r="G854" s="34"/>
      <c r="I854" s="34"/>
      <c r="J854" s="34"/>
      <c r="K854" s="34"/>
      <c r="L854" s="469">
        <v>-17000</v>
      </c>
      <c r="M854" s="2"/>
      <c r="N854" s="49">
        <f t="shared" si="17"/>
        <v>0</v>
      </c>
      <c r="O854" s="2"/>
      <c r="P854" s="2"/>
      <c r="Q854" s="2"/>
      <c r="R854" s="2"/>
      <c r="S854" s="2"/>
      <c r="T854" s="2"/>
      <c r="U854" s="2"/>
      <c r="V854" s="2"/>
      <c r="W854" s="2"/>
      <c r="X854" s="2"/>
      <c r="Y854" s="2"/>
      <c r="Z854" s="2"/>
    </row>
    <row r="855" spans="1:26" ht="16">
      <c r="A855" s="34">
        <v>8</v>
      </c>
      <c r="B855" s="34" t="s">
        <v>1932</v>
      </c>
      <c r="C855" s="469">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1933</v>
      </c>
      <c r="C856" s="469">
        <f>60%*800000</f>
        <v>480000</v>
      </c>
      <c r="D856" s="34"/>
      <c r="E856" s="469">
        <f>K856-C856</f>
        <v>320000</v>
      </c>
      <c r="G856" s="34"/>
      <c r="I856" s="34"/>
      <c r="J856" s="34"/>
      <c r="K856" s="469">
        <v>800000</v>
      </c>
      <c r="L856" s="34"/>
      <c r="M856" s="2"/>
      <c r="N856" s="49">
        <f t="shared" si="17"/>
        <v>0</v>
      </c>
      <c r="O856" s="2"/>
      <c r="P856" s="2"/>
      <c r="Q856" s="2"/>
      <c r="R856" s="2"/>
      <c r="S856" s="2"/>
      <c r="T856" s="2"/>
      <c r="U856" s="2"/>
      <c r="V856" s="2"/>
      <c r="W856" s="2"/>
      <c r="X856" s="2"/>
      <c r="Y856" s="2"/>
      <c r="Z856" s="2"/>
    </row>
    <row r="857" spans="1:26" ht="16">
      <c r="A857" s="34">
        <v>10</v>
      </c>
      <c r="B857" s="34" t="s">
        <v>1934</v>
      </c>
      <c r="C857" s="469">
        <v>-75000</v>
      </c>
      <c r="D857" s="34"/>
      <c r="E857" s="34"/>
      <c r="F857" s="469">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69">
        <v>-37000</v>
      </c>
      <c r="D858" s="34"/>
      <c r="E858" s="34"/>
      <c r="G858" s="34"/>
      <c r="I858" s="34"/>
      <c r="J858" s="34"/>
      <c r="K858" s="34"/>
      <c r="L858" s="469">
        <f>C858</f>
        <v>-37000</v>
      </c>
      <c r="M858" s="2"/>
      <c r="N858" s="49">
        <f t="shared" si="17"/>
        <v>0</v>
      </c>
      <c r="O858" s="2"/>
      <c r="P858" s="2"/>
      <c r="Q858" s="2"/>
      <c r="R858" s="2"/>
      <c r="S858" s="2"/>
      <c r="T858" s="2"/>
      <c r="U858" s="2"/>
      <c r="V858" s="2"/>
      <c r="W858" s="2"/>
      <c r="X858" s="2"/>
      <c r="Y858" s="2"/>
      <c r="Z858" s="2"/>
    </row>
    <row r="859" spans="1:26" ht="16">
      <c r="A859" s="34">
        <v>12</v>
      </c>
      <c r="B859" s="34" t="s">
        <v>1935</v>
      </c>
      <c r="C859" s="469">
        <f>-E859</f>
        <v>38000</v>
      </c>
      <c r="D859" s="34"/>
      <c r="E859" s="469">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47" t="s">
        <v>1937</v>
      </c>
      <c r="C860" s="469">
        <f>-6%*200000</f>
        <v>-12000</v>
      </c>
      <c r="D860" s="34"/>
      <c r="E860" s="34"/>
      <c r="G860" s="34"/>
      <c r="I860" s="34"/>
      <c r="J860" s="34"/>
      <c r="K860" s="34"/>
      <c r="L860" s="469">
        <f>-6%*200000</f>
        <v>-12000</v>
      </c>
      <c r="M860" s="2"/>
      <c r="N860" s="49">
        <f t="shared" si="17"/>
        <v>0</v>
      </c>
      <c r="O860" s="2"/>
      <c r="P860" s="2"/>
      <c r="Q860" s="2"/>
      <c r="R860" s="2"/>
      <c r="S860" s="2"/>
      <c r="T860" s="2"/>
      <c r="U860" s="2"/>
      <c r="V860" s="2"/>
      <c r="W860" s="2"/>
      <c r="X860" s="2"/>
      <c r="Y860" s="2"/>
      <c r="Z860" s="2"/>
    </row>
    <row r="861" spans="1:26" ht="16">
      <c r="A861" s="34">
        <v>13.2</v>
      </c>
      <c r="B861" s="647" t="s">
        <v>1938</v>
      </c>
      <c r="C861" s="469">
        <f>-C849</f>
        <v>-200000</v>
      </c>
      <c r="D861" s="34"/>
      <c r="E861" s="34"/>
      <c r="F861" s="34"/>
      <c r="G861" s="469">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47" t="s">
        <v>1939</v>
      </c>
      <c r="C862" s="469">
        <f>-8%*300000</f>
        <v>-24000</v>
      </c>
      <c r="D862" s="2"/>
      <c r="E862" s="2"/>
      <c r="F862" s="2"/>
      <c r="G862" s="2"/>
      <c r="I862" s="2"/>
      <c r="J862" s="2"/>
      <c r="K862" s="34"/>
      <c r="L862" s="469">
        <f>-8%*300000</f>
        <v>-24000</v>
      </c>
      <c r="M862" s="2"/>
      <c r="N862" s="49">
        <f t="shared" si="17"/>
        <v>0</v>
      </c>
      <c r="O862" s="2"/>
      <c r="P862" s="2"/>
      <c r="Q862" s="2"/>
      <c r="R862" s="2"/>
      <c r="S862" s="2"/>
      <c r="T862" s="2"/>
      <c r="U862" s="2"/>
      <c r="V862" s="2"/>
      <c r="W862" s="2"/>
      <c r="X862" s="2"/>
      <c r="Y862" s="2"/>
      <c r="Z862" s="2"/>
    </row>
    <row r="863" spans="1:26" ht="16">
      <c r="A863" s="34">
        <v>13.4</v>
      </c>
      <c r="B863" s="647" t="s">
        <v>1940</v>
      </c>
      <c r="C863" s="469">
        <v>-7000</v>
      </c>
      <c r="D863" s="2"/>
      <c r="E863" s="2"/>
      <c r="F863" s="2"/>
      <c r="G863" s="2"/>
      <c r="I863" s="2"/>
      <c r="J863" s="2"/>
      <c r="K863" s="34"/>
      <c r="L863" s="469">
        <v>-7000</v>
      </c>
      <c r="M863" s="2"/>
      <c r="N863" s="49">
        <f t="shared" si="17"/>
        <v>0</v>
      </c>
      <c r="O863" s="2"/>
      <c r="P863" s="2"/>
      <c r="Q863" s="2"/>
      <c r="R863" s="2"/>
      <c r="S863" s="2"/>
      <c r="T863" s="2"/>
      <c r="U863" s="2"/>
      <c r="V863" s="2"/>
      <c r="W863" s="2"/>
      <c r="X863" s="2"/>
      <c r="Y863" s="2"/>
      <c r="Z863" s="2"/>
    </row>
    <row r="864" spans="1:26" ht="16">
      <c r="A864" s="34">
        <v>14</v>
      </c>
      <c r="B864" s="34" t="s">
        <v>610</v>
      </c>
      <c r="C864" s="469">
        <v>-15000</v>
      </c>
      <c r="D864" s="2"/>
      <c r="E864" s="2"/>
      <c r="F864" s="2"/>
      <c r="G864" s="2"/>
      <c r="H864" s="2"/>
      <c r="I864" s="2"/>
      <c r="J864" s="2"/>
      <c r="K864" s="34"/>
      <c r="L864" s="469">
        <f>C864</f>
        <v>-15000</v>
      </c>
      <c r="M864" s="2"/>
      <c r="N864" s="49">
        <f t="shared" si="17"/>
        <v>0</v>
      </c>
      <c r="O864" s="2"/>
      <c r="P864" s="2"/>
      <c r="Q864" s="2"/>
      <c r="R864" s="2"/>
      <c r="S864" s="2"/>
      <c r="T864" s="2"/>
      <c r="U864" s="2"/>
      <c r="V864" s="2"/>
      <c r="W864" s="2"/>
      <c r="X864" s="2"/>
      <c r="Y864" s="2"/>
      <c r="Z864" s="2"/>
    </row>
    <row r="865" spans="1:26" ht="16">
      <c r="A865" s="34">
        <v>15</v>
      </c>
      <c r="B865" s="34" t="s">
        <v>123</v>
      </c>
      <c r="C865" s="469">
        <f>M865</f>
        <v>-242400</v>
      </c>
      <c r="D865" s="469"/>
      <c r="E865" s="469"/>
      <c r="F865" s="469"/>
      <c r="G865" s="469"/>
      <c r="H865" s="469"/>
      <c r="I865" s="469"/>
      <c r="J865" s="469"/>
      <c r="K865" s="469"/>
      <c r="L865" s="469"/>
      <c r="M865" s="469">
        <f>-40%*SUM(K848:L864)</f>
        <v>-242400</v>
      </c>
      <c r="N865" s="49">
        <f t="shared" si="17"/>
        <v>0</v>
      </c>
      <c r="O865" s="2"/>
      <c r="P865" s="2"/>
      <c r="Q865" s="2"/>
      <c r="R865" s="2"/>
      <c r="S865" s="2"/>
      <c r="T865" s="2"/>
      <c r="U865" s="2"/>
      <c r="V865" s="2"/>
      <c r="W865" s="2"/>
      <c r="X865" s="2"/>
      <c r="Y865" s="2"/>
      <c r="Z865" s="2"/>
    </row>
    <row r="866" spans="1:26" ht="16">
      <c r="A866" s="34"/>
      <c r="B866" s="34" t="s">
        <v>436</v>
      </c>
      <c r="C866" s="652">
        <f>SUM(C848:C865)</f>
        <v>686600</v>
      </c>
      <c r="D866" s="652">
        <f t="shared" ref="D866:M866" si="18">SUM(D848:D865)</f>
        <v>20000</v>
      </c>
      <c r="E866" s="652">
        <f t="shared" si="18"/>
        <v>282000</v>
      </c>
      <c r="F866" s="652">
        <f t="shared" si="18"/>
        <v>75000</v>
      </c>
      <c r="G866" s="653">
        <f t="shared" si="18"/>
        <v>0</v>
      </c>
      <c r="H866" s="653">
        <f t="shared" si="18"/>
        <v>300000</v>
      </c>
      <c r="I866" s="654">
        <f t="shared" si="18"/>
        <v>180000</v>
      </c>
      <c r="J866" s="654">
        <f t="shared" si="18"/>
        <v>220000</v>
      </c>
      <c r="K866" s="654">
        <f t="shared" si="18"/>
        <v>800000</v>
      </c>
      <c r="L866" s="654">
        <f t="shared" si="18"/>
        <v>-194000</v>
      </c>
      <c r="M866" s="654">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1944</v>
      </c>
      <c r="B868" s="552"/>
      <c r="C868" s="552"/>
      <c r="D868" s="552"/>
      <c r="E868" s="552"/>
      <c r="F868" s="552"/>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1945</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1946</v>
      </c>
      <c r="B872" s="89"/>
      <c r="C872" s="89"/>
      <c r="D872" s="2"/>
      <c r="E872" s="2"/>
      <c r="F872" s="682" t="s">
        <v>1957</v>
      </c>
      <c r="G872" s="682"/>
      <c r="H872" s="682"/>
      <c r="I872" s="682"/>
      <c r="J872" s="682"/>
      <c r="K872" s="2"/>
      <c r="L872" s="2"/>
      <c r="M872" s="2"/>
      <c r="N872" s="2"/>
      <c r="O872" s="2"/>
      <c r="P872" s="2"/>
      <c r="Q872" s="2"/>
      <c r="R872" s="2"/>
      <c r="S872" s="2"/>
      <c r="T872" s="2"/>
      <c r="U872" s="2"/>
      <c r="V872" s="2"/>
      <c r="W872" s="2"/>
      <c r="X872" s="2"/>
      <c r="Y872" s="2"/>
      <c r="Z872" s="2"/>
    </row>
    <row r="873" spans="1:26" ht="16">
      <c r="A873" s="2"/>
      <c r="B873" s="2"/>
      <c r="C873" s="655" t="s">
        <v>644</v>
      </c>
      <c r="D873" s="2"/>
      <c r="E873" s="2"/>
      <c r="F873" s="2"/>
      <c r="G873" s="656" t="s">
        <v>644</v>
      </c>
      <c r="H873" s="34"/>
      <c r="I873" s="34"/>
      <c r="J873" s="34"/>
      <c r="K873" s="656" t="s">
        <v>644</v>
      </c>
      <c r="L873" s="2"/>
      <c r="M873" s="2"/>
      <c r="N873" s="2"/>
      <c r="O873" s="2"/>
      <c r="P873" s="2"/>
      <c r="Q873" s="2"/>
      <c r="R873" s="2"/>
      <c r="S873" s="2"/>
      <c r="T873" s="2"/>
      <c r="U873" s="2"/>
      <c r="V873" s="2"/>
      <c r="W873" s="2"/>
      <c r="X873" s="2"/>
      <c r="Y873" s="2"/>
      <c r="Z873" s="2"/>
    </row>
    <row r="874" spans="1:26" ht="16">
      <c r="A874" s="2" t="s">
        <v>1947</v>
      </c>
      <c r="B874" s="2"/>
      <c r="C874" s="469">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69">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4">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69">
        <f>L860+L862+L863</f>
        <v>-43000</v>
      </c>
      <c r="D877" s="2"/>
      <c r="E877" s="2"/>
      <c r="F877" s="2" t="s">
        <v>66</v>
      </c>
      <c r="G877" s="469">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4">
        <f>C876+C877</f>
        <v>621000</v>
      </c>
      <c r="D878" s="2"/>
      <c r="E878" s="2"/>
      <c r="F878" s="2" t="s">
        <v>493</v>
      </c>
      <c r="G878" s="469">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69">
        <f>L864</f>
        <v>-15000</v>
      </c>
      <c r="D879" s="2"/>
      <c r="E879" s="2"/>
      <c r="F879" s="2" t="s">
        <v>1546</v>
      </c>
      <c r="G879" s="469">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4">
        <f>C878+C879</f>
        <v>606000</v>
      </c>
      <c r="D880" s="2"/>
      <c r="E880" s="2"/>
      <c r="F880" s="2"/>
      <c r="G880" s="554">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1954</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655" t="s">
        <v>644</v>
      </c>
      <c r="D883" s="2"/>
      <c r="E883" s="2"/>
      <c r="F883" s="2" t="s">
        <v>1932</v>
      </c>
      <c r="G883" s="469">
        <f>D866</f>
        <v>20000</v>
      </c>
      <c r="H883" s="2"/>
      <c r="I883" s="2" t="s">
        <v>1941</v>
      </c>
      <c r="J883" s="2"/>
      <c r="K883" s="469">
        <f>H866</f>
        <v>300000</v>
      </c>
      <c r="L883" s="2"/>
      <c r="M883" s="2"/>
      <c r="N883" s="2"/>
      <c r="O883" s="2"/>
      <c r="P883" s="2"/>
      <c r="Q883" s="2"/>
      <c r="R883" s="2"/>
      <c r="S883" s="2"/>
      <c r="T883" s="2"/>
      <c r="U883" s="2"/>
      <c r="V883" s="2"/>
      <c r="W883" s="2"/>
      <c r="X883" s="2"/>
      <c r="Y883" s="2"/>
      <c r="Z883" s="2"/>
    </row>
    <row r="884" spans="1:26" ht="16">
      <c r="A884" s="2" t="s">
        <v>1955</v>
      </c>
      <c r="B884" s="2"/>
      <c r="C884" s="34">
        <v>0</v>
      </c>
      <c r="D884" s="2"/>
      <c r="E884" s="2"/>
      <c r="F884" s="2"/>
      <c r="G884" s="554">
        <f>SUM(G883)</f>
        <v>20000</v>
      </c>
      <c r="H884" s="2"/>
      <c r="I884" s="2"/>
      <c r="J884" s="2"/>
      <c r="K884" s="554">
        <f>SUM(K883)</f>
        <v>300000</v>
      </c>
      <c r="L884" s="2"/>
      <c r="M884" s="2"/>
      <c r="N884" s="2"/>
      <c r="O884" s="2"/>
      <c r="P884" s="2"/>
      <c r="Q884" s="2"/>
      <c r="R884" s="2"/>
      <c r="S884" s="2"/>
      <c r="T884" s="2"/>
      <c r="U884" s="2"/>
      <c r="V884" s="2"/>
      <c r="W884" s="2"/>
      <c r="X884" s="2"/>
      <c r="Y884" s="2"/>
      <c r="Z884" s="2"/>
    </row>
    <row r="885" spans="1:26" ht="16">
      <c r="A885" s="2" t="s">
        <v>664</v>
      </c>
      <c r="B885" s="2"/>
      <c r="C885" s="469">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69">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1956</v>
      </c>
      <c r="B887" s="2"/>
      <c r="C887" s="554">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69">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69">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69">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4">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4">
        <f>G880+G884</f>
        <v>1063600</v>
      </c>
      <c r="H895" s="2"/>
      <c r="I895" s="2" t="s">
        <v>561</v>
      </c>
      <c r="J895" s="2"/>
      <c r="K895" s="554">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1958</v>
      </c>
      <c r="B898" s="2"/>
      <c r="C898" s="2"/>
      <c r="D898" s="2"/>
      <c r="E898" s="2"/>
      <c r="F898" s="2" t="s">
        <v>1959</v>
      </c>
      <c r="G898" s="2"/>
      <c r="H898" s="2"/>
      <c r="I898" s="2"/>
      <c r="J898" s="2"/>
      <c r="K898" s="2"/>
      <c r="L898" s="2"/>
      <c r="M898" s="2"/>
      <c r="N898" s="2"/>
      <c r="O898" s="2"/>
      <c r="P898" s="2"/>
      <c r="Q898" s="2"/>
      <c r="R898" s="2"/>
      <c r="S898" s="2"/>
      <c r="T898" s="2"/>
      <c r="U898" s="2"/>
      <c r="V898" s="2"/>
      <c r="W898" s="2"/>
      <c r="X898" s="2"/>
      <c r="Y898" s="2"/>
      <c r="Z898" s="2"/>
    </row>
    <row r="899" spans="1:26" ht="16">
      <c r="A899" s="2" t="s">
        <v>1948</v>
      </c>
      <c r="B899" s="2"/>
      <c r="C899" s="2"/>
      <c r="D899" s="2"/>
      <c r="E899" s="2"/>
      <c r="F899" s="2" t="s">
        <v>1960</v>
      </c>
      <c r="G899" s="2"/>
      <c r="H899" s="2"/>
      <c r="I899" s="2"/>
      <c r="J899" s="2"/>
      <c r="K899" s="2"/>
      <c r="L899" s="2"/>
      <c r="M899" s="2"/>
      <c r="N899" s="2"/>
      <c r="O899" s="2"/>
      <c r="P899" s="2"/>
      <c r="Q899" s="2"/>
      <c r="R899" s="2"/>
      <c r="S899" s="2"/>
      <c r="T899" s="2"/>
      <c r="U899" s="2"/>
      <c r="V899" s="2"/>
      <c r="W899" s="2"/>
      <c r="X899" s="2"/>
      <c r="Y899" s="2"/>
      <c r="Z899" s="2"/>
    </row>
    <row r="900" spans="1:26" ht="16">
      <c r="A900" s="2" t="s">
        <v>1949</v>
      </c>
      <c r="B900" s="2"/>
      <c r="C900" s="2"/>
      <c r="D900" s="2"/>
      <c r="E900" s="2"/>
      <c r="F900" s="2" t="s">
        <v>1961</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1962</v>
      </c>
      <c r="G901" s="2"/>
      <c r="H901" s="2"/>
      <c r="I901" s="2"/>
      <c r="J901" s="2"/>
      <c r="K901" s="2"/>
      <c r="L901" s="2"/>
      <c r="M901" s="2"/>
      <c r="N901" s="2"/>
      <c r="O901" s="2"/>
      <c r="P901" s="2"/>
      <c r="Q901" s="2"/>
      <c r="R901" s="2"/>
      <c r="S901" s="2"/>
      <c r="T901" s="2"/>
      <c r="U901" s="2"/>
      <c r="V901" s="2"/>
      <c r="W901" s="2"/>
      <c r="X901" s="2"/>
      <c r="Y901" s="2"/>
      <c r="Z901" s="2"/>
    </row>
    <row r="902" spans="1:26" ht="16">
      <c r="A902" s="2" t="s">
        <v>1950</v>
      </c>
      <c r="B902" s="2"/>
      <c r="C902" s="2"/>
      <c r="D902" s="2"/>
      <c r="E902" s="2"/>
      <c r="F902" s="2" t="s">
        <v>1963</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1964</v>
      </c>
      <c r="G903" s="2"/>
      <c r="H903" s="2"/>
      <c r="I903" s="2"/>
      <c r="J903" s="2"/>
      <c r="K903" s="2"/>
      <c r="L903" s="2"/>
      <c r="M903" s="2"/>
      <c r="N903" s="2"/>
      <c r="O903" s="2"/>
      <c r="P903" s="2"/>
      <c r="Q903" s="2"/>
      <c r="R903" s="2"/>
      <c r="S903" s="2"/>
      <c r="T903" s="2"/>
      <c r="U903" s="2"/>
      <c r="V903" s="2"/>
      <c r="W903" s="2"/>
      <c r="X903" s="2"/>
      <c r="Y903" s="2"/>
      <c r="Z903" s="2"/>
    </row>
    <row r="904" spans="1:26" ht="16">
      <c r="A904" s="2" t="s">
        <v>1951</v>
      </c>
      <c r="B904" s="2"/>
      <c r="C904" s="2"/>
      <c r="D904" s="2"/>
      <c r="E904" s="2"/>
      <c r="F904" s="2" t="s">
        <v>1965</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1952</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1953</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683" t="s">
        <v>1966</v>
      </c>
      <c r="B917" s="680"/>
      <c r="C917" s="680"/>
      <c r="D917" s="680"/>
      <c r="E917" s="680"/>
      <c r="F917" s="680"/>
      <c r="G917" s="680"/>
      <c r="H917" s="680"/>
      <c r="I917" s="680"/>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1967</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679" t="s">
        <v>558</v>
      </c>
      <c r="B980" s="680"/>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679" t="s">
        <v>593</v>
      </c>
      <c r="B981" s="680"/>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679" t="s">
        <v>596</v>
      </c>
      <c r="B983" s="680"/>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679" t="s">
        <v>598</v>
      </c>
      <c r="B984" s="680"/>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679" t="s">
        <v>600</v>
      </c>
      <c r="B985" s="680"/>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SUM(F1001:F1027)</f>
        <v>730000</v>
      </c>
      <c r="G1028" s="266">
        <f t="shared" ref="G1028:O1028" si="25">SUM(G1001:G1027)</f>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679" t="s">
        <v>558</v>
      </c>
      <c r="D1066" s="680"/>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679" t="s">
        <v>659</v>
      </c>
      <c r="D1067" s="680"/>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679" t="s">
        <v>596</v>
      </c>
      <c r="D1069" s="680"/>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679" t="s">
        <v>598</v>
      </c>
      <c r="D1070" s="680"/>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679" t="s">
        <v>600</v>
      </c>
      <c r="D1071" s="680"/>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258" customFormat="1" ht="16">
      <c r="A1165" s="259"/>
      <c r="B1165" s="259"/>
      <c r="C1165" s="259"/>
      <c r="D1165" s="259"/>
      <c r="E1165" s="259"/>
      <c r="F1165" s="259"/>
      <c r="G1165" s="259"/>
      <c r="H1165" s="259"/>
      <c r="I1165" s="259"/>
      <c r="J1165" s="259"/>
      <c r="K1165" s="259"/>
      <c r="L1165" s="259"/>
      <c r="M1165" s="259"/>
      <c r="N1165" s="259"/>
      <c r="O1165" s="259"/>
      <c r="P1165" s="259"/>
      <c r="Q1165" s="259"/>
      <c r="R1165" s="259"/>
      <c r="S1165" s="259"/>
      <c r="T1165" s="259"/>
      <c r="U1165" s="259"/>
      <c r="V1165" s="259"/>
      <c r="W1165" s="259"/>
      <c r="X1165" s="259"/>
      <c r="Y1165" s="259"/>
      <c r="Z1165" s="259"/>
      <c r="AA1165" s="259"/>
    </row>
    <row r="1166" spans="1:27" s="258" customFormat="1" ht="16">
      <c r="A1166" s="259"/>
      <c r="B1166" s="259"/>
      <c r="C1166" s="259"/>
      <c r="D1166" s="259"/>
      <c r="E1166" s="259"/>
      <c r="F1166" s="259"/>
      <c r="G1166" s="259"/>
      <c r="H1166" s="259"/>
      <c r="I1166" s="259"/>
      <c r="J1166" s="259"/>
      <c r="K1166" s="259"/>
      <c r="L1166" s="259"/>
      <c r="M1166" s="259"/>
      <c r="N1166" s="259"/>
      <c r="O1166" s="259"/>
      <c r="P1166" s="259"/>
      <c r="Q1166" s="259"/>
      <c r="R1166" s="259"/>
      <c r="S1166" s="259"/>
      <c r="T1166" s="259"/>
      <c r="U1166" s="259"/>
      <c r="V1166" s="259"/>
      <c r="W1166" s="259"/>
      <c r="X1166" s="259"/>
      <c r="Y1166" s="259"/>
      <c r="Z1166" s="259"/>
      <c r="AA1166" s="259"/>
    </row>
    <row r="1167" spans="1:27" s="258" customFormat="1" ht="16">
      <c r="A1167" s="259"/>
      <c r="B1167" s="259"/>
      <c r="C1167" s="259"/>
      <c r="D1167" s="259"/>
      <c r="E1167" s="259"/>
      <c r="F1167" s="259"/>
      <c r="G1167" s="259"/>
      <c r="H1167" s="259"/>
      <c r="I1167" s="259"/>
      <c r="J1167" s="259"/>
      <c r="K1167" s="259"/>
      <c r="L1167" s="259"/>
      <c r="M1167" s="259"/>
      <c r="N1167" s="259"/>
      <c r="O1167" s="259"/>
      <c r="P1167" s="259"/>
      <c r="Q1167" s="259"/>
      <c r="R1167" s="259"/>
      <c r="S1167" s="259"/>
      <c r="T1167" s="259"/>
      <c r="U1167" s="259"/>
      <c r="V1167" s="259"/>
      <c r="W1167" s="259"/>
      <c r="X1167" s="259"/>
      <c r="Y1167" s="259"/>
      <c r="Z1167" s="259"/>
      <c r="AA1167" s="259"/>
    </row>
    <row r="1168" spans="1:27" s="258" customFormat="1" ht="16">
      <c r="A1168" s="259"/>
      <c r="B1168" s="259"/>
      <c r="C1168" s="259"/>
      <c r="D1168" s="259"/>
      <c r="E1168" s="259"/>
      <c r="F1168" s="259"/>
      <c r="G1168" s="259"/>
      <c r="H1168" s="259"/>
      <c r="I1168" s="259"/>
      <c r="J1168" s="259"/>
      <c r="K1168" s="259"/>
      <c r="L1168" s="259"/>
      <c r="M1168" s="259"/>
      <c r="N1168" s="259"/>
      <c r="O1168" s="259"/>
      <c r="P1168" s="259"/>
      <c r="Q1168" s="259"/>
      <c r="R1168" s="259"/>
      <c r="S1168" s="259"/>
      <c r="T1168" s="259"/>
      <c r="U1168" s="259"/>
      <c r="V1168" s="259"/>
      <c r="W1168" s="259"/>
      <c r="X1168" s="259"/>
      <c r="Y1168" s="259"/>
      <c r="Z1168" s="259"/>
      <c r="AA1168" s="259"/>
    </row>
    <row r="1169" spans="1:27" s="258" customFormat="1" ht="16">
      <c r="A1169" s="259"/>
      <c r="B1169" s="259"/>
      <c r="C1169" s="259"/>
      <c r="D1169" s="259"/>
      <c r="E1169" s="259"/>
      <c r="F1169" s="259"/>
      <c r="G1169" s="259"/>
      <c r="H1169" s="259"/>
      <c r="I1169" s="259"/>
      <c r="J1169" s="259"/>
      <c r="K1169" s="259"/>
      <c r="L1169" s="259"/>
      <c r="M1169" s="259"/>
      <c r="N1169" s="259"/>
      <c r="O1169" s="259"/>
      <c r="P1169" s="259"/>
      <c r="Q1169" s="259"/>
      <c r="R1169" s="259"/>
      <c r="S1169" s="259"/>
      <c r="T1169" s="259"/>
      <c r="U1169" s="259"/>
      <c r="V1169" s="259"/>
      <c r="W1169" s="259"/>
      <c r="X1169" s="259"/>
      <c r="Y1169" s="259"/>
      <c r="Z1169" s="259"/>
      <c r="AA1169" s="259"/>
    </row>
    <row r="1170" spans="1:27" s="258" customFormat="1" ht="16">
      <c r="A1170" s="259"/>
      <c r="B1170" s="259"/>
      <c r="C1170" s="259"/>
      <c r="D1170" s="259"/>
      <c r="E1170" s="259"/>
      <c r="F1170" s="259"/>
      <c r="G1170" s="259"/>
      <c r="H1170" s="259"/>
      <c r="I1170" s="259"/>
      <c r="J1170" s="259"/>
      <c r="K1170" s="259"/>
      <c r="L1170" s="259"/>
      <c r="M1170" s="259"/>
      <c r="N1170" s="259"/>
      <c r="O1170" s="259"/>
      <c r="P1170" s="259"/>
      <c r="Q1170" s="259"/>
      <c r="R1170" s="259"/>
      <c r="S1170" s="259"/>
      <c r="T1170" s="259"/>
      <c r="U1170" s="259"/>
      <c r="V1170" s="259"/>
      <c r="W1170" s="259"/>
      <c r="X1170" s="259"/>
      <c r="Y1170" s="259"/>
      <c r="Z1170" s="259"/>
      <c r="AA1170" s="259"/>
    </row>
    <row r="1171" spans="1:27" s="258" customFormat="1" ht="16">
      <c r="A1171" s="259"/>
      <c r="B1171" s="259"/>
      <c r="C1171" s="259"/>
      <c r="D1171" s="259"/>
      <c r="E1171" s="259"/>
      <c r="F1171" s="259"/>
      <c r="G1171" s="259"/>
      <c r="H1171" s="259"/>
      <c r="I1171" s="259"/>
      <c r="J1171" s="259"/>
      <c r="K1171" s="259"/>
      <c r="L1171" s="259"/>
      <c r="M1171" s="259"/>
      <c r="N1171" s="259"/>
      <c r="O1171" s="259"/>
      <c r="P1171" s="259"/>
      <c r="Q1171" s="259"/>
      <c r="R1171" s="259"/>
      <c r="S1171" s="259"/>
      <c r="T1171" s="259"/>
      <c r="U1171" s="259"/>
      <c r="V1171" s="259"/>
      <c r="W1171" s="259"/>
      <c r="X1171" s="259"/>
      <c r="Y1171" s="259"/>
      <c r="Z1171" s="259"/>
      <c r="AA1171" s="259"/>
    </row>
    <row r="1172" spans="1:27" s="258" customFormat="1" ht="16">
      <c r="A1172" s="259"/>
      <c r="B1172" s="259"/>
      <c r="C1172" s="259"/>
      <c r="D1172" s="259"/>
      <c r="E1172" s="259"/>
      <c r="F1172" s="259"/>
      <c r="G1172" s="259"/>
      <c r="H1172" s="259"/>
      <c r="I1172" s="259"/>
      <c r="J1172" s="259"/>
      <c r="K1172" s="259"/>
      <c r="L1172" s="259"/>
      <c r="M1172" s="259"/>
      <c r="N1172" s="259"/>
      <c r="O1172" s="259"/>
      <c r="P1172" s="259"/>
      <c r="Q1172" s="259"/>
      <c r="R1172" s="259"/>
      <c r="S1172" s="259"/>
      <c r="T1172" s="259"/>
      <c r="U1172" s="259"/>
      <c r="V1172" s="259"/>
      <c r="W1172" s="259"/>
      <c r="X1172" s="259"/>
      <c r="Y1172" s="259"/>
      <c r="Z1172" s="259"/>
      <c r="AA1172" s="259"/>
    </row>
    <row r="1173" spans="1:27" s="258" customFormat="1" ht="16">
      <c r="A1173" s="259"/>
      <c r="B1173" s="259"/>
      <c r="C1173" s="259"/>
      <c r="D1173" s="259"/>
      <c r="E1173" s="259"/>
      <c r="F1173" s="259"/>
      <c r="G1173" s="259"/>
      <c r="H1173" s="259"/>
      <c r="I1173" s="259"/>
      <c r="J1173" s="259"/>
      <c r="K1173" s="259"/>
      <c r="L1173" s="259"/>
      <c r="M1173" s="259"/>
      <c r="N1173" s="259"/>
      <c r="O1173" s="259"/>
      <c r="P1173" s="259"/>
      <c r="Q1173" s="259"/>
      <c r="R1173" s="259"/>
      <c r="S1173" s="259"/>
      <c r="T1173" s="259"/>
      <c r="U1173" s="259"/>
      <c r="V1173" s="259"/>
      <c r="W1173" s="259"/>
      <c r="X1173" s="259"/>
      <c r="Y1173" s="259"/>
      <c r="Z1173" s="259"/>
      <c r="AA1173" s="259"/>
    </row>
    <row r="1174" spans="1:27" s="258" customFormat="1" ht="16">
      <c r="A1174" s="259"/>
      <c r="B1174" s="259"/>
      <c r="C1174" s="259"/>
      <c r="D1174" s="259"/>
      <c r="E1174" s="259"/>
      <c r="F1174" s="259"/>
      <c r="G1174" s="259"/>
      <c r="H1174" s="259"/>
      <c r="I1174" s="259"/>
      <c r="J1174" s="259"/>
      <c r="K1174" s="259"/>
      <c r="L1174" s="259"/>
      <c r="M1174" s="259"/>
      <c r="N1174" s="259"/>
      <c r="O1174" s="259"/>
      <c r="P1174" s="259"/>
      <c r="Q1174" s="259"/>
      <c r="R1174" s="259"/>
      <c r="S1174" s="259"/>
      <c r="T1174" s="259"/>
      <c r="U1174" s="259"/>
      <c r="V1174" s="259"/>
      <c r="W1174" s="259"/>
      <c r="X1174" s="259"/>
      <c r="Y1174" s="259"/>
      <c r="Z1174" s="259"/>
      <c r="AA1174" s="259"/>
    </row>
    <row r="1175" spans="1:27" s="258" customFormat="1" ht="16">
      <c r="A1175" s="259"/>
      <c r="B1175" s="259"/>
      <c r="C1175" s="259"/>
      <c r="D1175" s="259"/>
      <c r="E1175" s="259"/>
      <c r="F1175" s="259"/>
      <c r="G1175" s="259"/>
      <c r="H1175" s="259"/>
      <c r="I1175" s="259"/>
      <c r="J1175" s="259"/>
      <c r="K1175" s="259"/>
      <c r="L1175" s="259"/>
      <c r="M1175" s="259"/>
      <c r="N1175" s="259"/>
      <c r="O1175" s="259"/>
      <c r="P1175" s="259"/>
      <c r="Q1175" s="259"/>
      <c r="R1175" s="259"/>
      <c r="S1175" s="259"/>
      <c r="T1175" s="259"/>
      <c r="U1175" s="259"/>
      <c r="V1175" s="259"/>
      <c r="W1175" s="259"/>
      <c r="X1175" s="259"/>
      <c r="Y1175" s="259"/>
      <c r="Z1175" s="259"/>
      <c r="AA1175" s="259"/>
    </row>
    <row r="1176" spans="1:27" s="258" customFormat="1" ht="16">
      <c r="A1176" s="259"/>
      <c r="B1176" s="259"/>
      <c r="C1176" s="259"/>
      <c r="D1176" s="259"/>
      <c r="E1176" s="259"/>
      <c r="F1176" s="259"/>
      <c r="G1176" s="259"/>
      <c r="H1176" s="259"/>
      <c r="I1176" s="259"/>
      <c r="J1176" s="259"/>
      <c r="K1176" s="259"/>
      <c r="L1176" s="259"/>
      <c r="M1176" s="259"/>
      <c r="N1176" s="259"/>
      <c r="O1176" s="259"/>
      <c r="P1176" s="259"/>
      <c r="Q1176" s="259"/>
      <c r="R1176" s="259"/>
      <c r="S1176" s="259"/>
      <c r="T1176" s="259"/>
      <c r="U1176" s="259"/>
      <c r="V1176" s="259"/>
      <c r="W1176" s="259"/>
      <c r="X1176" s="259"/>
      <c r="Y1176" s="259"/>
      <c r="Z1176" s="259"/>
      <c r="AA1176" s="259"/>
    </row>
    <row r="1177" spans="1:27" s="258" customFormat="1" ht="16">
      <c r="A1177" s="259"/>
      <c r="B1177" s="259"/>
      <c r="C1177" s="259"/>
      <c r="D1177" s="259"/>
      <c r="E1177" s="259"/>
      <c r="F1177" s="259"/>
      <c r="G1177" s="259"/>
      <c r="H1177" s="259"/>
      <c r="I1177" s="259"/>
      <c r="J1177" s="259"/>
      <c r="K1177" s="259"/>
      <c r="L1177" s="259"/>
      <c r="M1177" s="259"/>
      <c r="N1177" s="259"/>
      <c r="O1177" s="259"/>
      <c r="P1177" s="259"/>
      <c r="Q1177" s="259"/>
      <c r="R1177" s="259"/>
      <c r="S1177" s="259"/>
      <c r="T1177" s="259"/>
      <c r="U1177" s="259"/>
      <c r="V1177" s="259"/>
      <c r="W1177" s="259"/>
      <c r="X1177" s="259"/>
      <c r="Y1177" s="259"/>
      <c r="Z1177" s="259"/>
      <c r="AA1177" s="259"/>
    </row>
    <row r="1178" spans="1:27" s="258" customFormat="1" ht="16">
      <c r="A1178" s="259"/>
      <c r="B1178" s="259"/>
      <c r="C1178" s="259"/>
      <c r="D1178" s="259"/>
      <c r="E1178" s="259"/>
      <c r="F1178" s="259"/>
      <c r="G1178" s="259"/>
      <c r="H1178" s="259"/>
      <c r="I1178" s="259"/>
      <c r="J1178" s="259"/>
      <c r="K1178" s="259"/>
      <c r="L1178" s="259"/>
      <c r="M1178" s="259"/>
      <c r="N1178" s="259"/>
      <c r="O1178" s="259"/>
      <c r="P1178" s="259"/>
      <c r="Q1178" s="259"/>
      <c r="R1178" s="259"/>
      <c r="S1178" s="259"/>
      <c r="T1178" s="259"/>
      <c r="U1178" s="259"/>
      <c r="V1178" s="259"/>
      <c r="W1178" s="259"/>
      <c r="X1178" s="259"/>
      <c r="Y1178" s="259"/>
      <c r="Z1178" s="259"/>
      <c r="AA1178" s="259"/>
    </row>
    <row r="1179" spans="1:27" s="258" customFormat="1" ht="16">
      <c r="A1179" s="259" t="s">
        <v>1968</v>
      </c>
      <c r="B1179" s="259"/>
      <c r="C1179" s="259"/>
      <c r="D1179" s="259"/>
      <c r="E1179" s="259"/>
      <c r="F1179" s="259"/>
      <c r="G1179" s="259"/>
      <c r="H1179" s="259"/>
      <c r="I1179" s="259"/>
      <c r="J1179" s="259"/>
      <c r="K1179" s="259"/>
      <c r="L1179" s="259"/>
      <c r="M1179" s="259"/>
      <c r="N1179" s="259"/>
      <c r="O1179" s="259"/>
      <c r="P1179" s="259"/>
      <c r="Q1179" s="259"/>
      <c r="R1179" s="259"/>
      <c r="S1179" s="259"/>
      <c r="T1179" s="259"/>
      <c r="U1179" s="259"/>
      <c r="V1179" s="259"/>
      <c r="W1179" s="259"/>
      <c r="X1179" s="259"/>
      <c r="Y1179" s="259"/>
      <c r="Z1179" s="259"/>
      <c r="AA1179" s="259"/>
    </row>
    <row r="1180" spans="1:27" s="258" customFormat="1" ht="16">
      <c r="A1180" s="259"/>
      <c r="B1180" s="259" t="s">
        <v>1969</v>
      </c>
      <c r="C1180" s="259"/>
      <c r="D1180" s="259"/>
      <c r="E1180" s="259"/>
      <c r="F1180" s="259"/>
      <c r="G1180" s="259"/>
      <c r="H1180" s="259"/>
      <c r="I1180" s="259"/>
      <c r="J1180" s="259"/>
      <c r="K1180" s="259"/>
      <c r="L1180" s="259"/>
      <c r="M1180" s="259"/>
      <c r="N1180" s="259"/>
      <c r="O1180" s="259"/>
      <c r="P1180" s="259"/>
      <c r="Q1180" s="259"/>
      <c r="R1180" s="259"/>
      <c r="S1180" s="259"/>
      <c r="T1180" s="259"/>
      <c r="U1180" s="259"/>
      <c r="V1180" s="259"/>
      <c r="W1180" s="259"/>
      <c r="X1180" s="259"/>
      <c r="Y1180" s="259"/>
      <c r="Z1180" s="259"/>
      <c r="AA1180" s="259"/>
    </row>
    <row r="1181" spans="1:27" s="258" customFormat="1" ht="16">
      <c r="A1181" s="259"/>
      <c r="B1181" s="259"/>
      <c r="C1181" s="259"/>
      <c r="D1181" s="259"/>
      <c r="E1181" s="259"/>
      <c r="F1181" s="259"/>
      <c r="G1181" s="259"/>
      <c r="H1181" s="259"/>
      <c r="I1181" s="259"/>
      <c r="J1181" s="259"/>
      <c r="K1181" s="259"/>
      <c r="L1181" s="259"/>
      <c r="M1181" s="259"/>
      <c r="N1181" s="259"/>
      <c r="O1181" s="259"/>
      <c r="P1181" s="259"/>
      <c r="Q1181" s="259"/>
      <c r="R1181" s="259"/>
      <c r="S1181" s="259"/>
      <c r="T1181" s="259"/>
      <c r="U1181" s="259"/>
      <c r="V1181" s="259"/>
      <c r="W1181" s="259"/>
      <c r="X1181" s="259"/>
      <c r="Y1181" s="259"/>
      <c r="Z1181" s="259"/>
      <c r="AA1181" s="259"/>
    </row>
    <row r="1182" spans="1:27" s="258" customFormat="1" ht="16">
      <c r="A1182" s="259" t="s">
        <v>1970</v>
      </c>
      <c r="B1182" s="259"/>
      <c r="C1182" s="259"/>
      <c r="D1182" s="259"/>
      <c r="E1182" s="259"/>
      <c r="F1182" s="259"/>
      <c r="G1182" s="259"/>
      <c r="H1182" s="259"/>
      <c r="I1182" s="259"/>
      <c r="J1182" s="259"/>
      <c r="K1182" s="259"/>
      <c r="L1182" s="259"/>
      <c r="M1182" s="259"/>
      <c r="N1182" s="259"/>
      <c r="O1182" s="259"/>
      <c r="P1182" s="259"/>
      <c r="Q1182" s="259"/>
      <c r="R1182" s="259"/>
      <c r="S1182" s="259"/>
      <c r="T1182" s="259"/>
      <c r="U1182" s="259"/>
      <c r="V1182" s="259"/>
      <c r="W1182" s="259"/>
      <c r="X1182" s="259"/>
      <c r="Y1182" s="259"/>
      <c r="Z1182" s="259"/>
      <c r="AA1182" s="259"/>
    </row>
    <row r="1183" spans="1:27" s="258" customFormat="1" ht="16">
      <c r="A1183" s="259"/>
      <c r="B1183" s="259" t="s">
        <v>1971</v>
      </c>
      <c r="C1183" s="259"/>
      <c r="D1183" s="259"/>
      <c r="E1183" s="259"/>
      <c r="F1183" s="259"/>
      <c r="G1183" s="259"/>
      <c r="H1183" s="259"/>
      <c r="I1183" s="259"/>
      <c r="J1183" s="259"/>
      <c r="K1183" s="259"/>
      <c r="L1183" s="259"/>
      <c r="M1183" s="259"/>
      <c r="N1183" s="259"/>
      <c r="O1183" s="259"/>
      <c r="P1183" s="259"/>
      <c r="Q1183" s="259"/>
      <c r="R1183" s="259"/>
      <c r="S1183" s="259"/>
      <c r="T1183" s="259"/>
      <c r="U1183" s="259"/>
      <c r="V1183" s="259"/>
      <c r="W1183" s="259"/>
      <c r="X1183" s="259"/>
      <c r="Y1183" s="259"/>
      <c r="Z1183" s="259"/>
      <c r="AA1183" s="259"/>
    </row>
    <row r="1184" spans="1:27" s="258" customFormat="1" ht="16">
      <c r="A1184" s="259"/>
      <c r="B1184" s="259" t="s">
        <v>1972</v>
      </c>
      <c r="C1184" s="259"/>
      <c r="D1184" s="259"/>
      <c r="E1184" s="259"/>
      <c r="F1184" s="259"/>
      <c r="G1184" s="259"/>
      <c r="H1184" s="259"/>
      <c r="I1184" s="259"/>
      <c r="J1184" s="259"/>
      <c r="K1184" s="259"/>
      <c r="L1184" s="259"/>
      <c r="M1184" s="259"/>
      <c r="N1184" s="259"/>
      <c r="O1184" s="259"/>
      <c r="P1184" s="259"/>
      <c r="Q1184" s="259"/>
      <c r="R1184" s="259"/>
      <c r="S1184" s="259"/>
      <c r="T1184" s="259"/>
      <c r="U1184" s="259"/>
      <c r="V1184" s="259"/>
      <c r="W1184" s="259"/>
      <c r="X1184" s="259"/>
      <c r="Y1184" s="259"/>
      <c r="Z1184" s="259"/>
      <c r="AA1184" s="259"/>
    </row>
    <row r="1185" spans="1:27" s="258" customFormat="1" ht="16">
      <c r="A1185" s="259"/>
      <c r="B1185" s="259"/>
      <c r="C1185" s="259"/>
      <c r="D1185" s="259"/>
      <c r="E1185" s="259"/>
      <c r="F1185" s="259"/>
      <c r="G1185" s="259"/>
      <c r="H1185" s="259"/>
      <c r="I1185" s="259"/>
      <c r="J1185" s="259"/>
      <c r="K1185" s="259"/>
      <c r="L1185" s="259"/>
      <c r="M1185" s="259"/>
      <c r="N1185" s="259"/>
      <c r="O1185" s="259"/>
      <c r="P1185" s="259"/>
      <c r="Q1185" s="259"/>
      <c r="R1185" s="259"/>
      <c r="S1185" s="259"/>
      <c r="T1185" s="259"/>
      <c r="U1185" s="259"/>
      <c r="V1185" s="259"/>
      <c r="W1185" s="259"/>
      <c r="X1185" s="259"/>
      <c r="Y1185" s="259"/>
      <c r="Z1185" s="259"/>
      <c r="AA1185" s="259"/>
    </row>
    <row r="1186" spans="1:27" s="258" customFormat="1" ht="16">
      <c r="A1186" s="259" t="s">
        <v>1973</v>
      </c>
      <c r="B1186" s="259"/>
      <c r="C1186" s="259"/>
      <c r="D1186" s="259"/>
      <c r="E1186" s="259"/>
      <c r="F1186" s="259"/>
      <c r="G1186" s="259"/>
      <c r="H1186" s="259"/>
      <c r="I1186" s="259"/>
      <c r="J1186" s="259"/>
      <c r="K1186" s="259"/>
      <c r="L1186" s="259"/>
      <c r="M1186" s="259"/>
      <c r="N1186" s="259"/>
      <c r="O1186" s="259"/>
      <c r="P1186" s="259"/>
      <c r="Q1186" s="259"/>
      <c r="R1186" s="259"/>
      <c r="S1186" s="259"/>
      <c r="T1186" s="259"/>
      <c r="U1186" s="259"/>
      <c r="V1186" s="259"/>
      <c r="W1186" s="259"/>
      <c r="X1186" s="259"/>
      <c r="Y1186" s="259"/>
      <c r="Z1186" s="259"/>
      <c r="AA1186" s="259"/>
    </row>
    <row r="1187" spans="1:27" s="258" customFormat="1" ht="16">
      <c r="A1187" s="259"/>
      <c r="B1187" s="259" t="s">
        <v>1974</v>
      </c>
      <c r="C1187" s="259"/>
      <c r="D1187" s="259"/>
      <c r="E1187" s="259"/>
      <c r="F1187" s="259"/>
      <c r="G1187" s="259"/>
      <c r="H1187" s="259"/>
      <c r="I1187" s="259"/>
      <c r="J1187" s="259"/>
      <c r="K1187" s="259"/>
      <c r="L1187" s="259"/>
      <c r="M1187" s="259"/>
      <c r="N1187" s="259"/>
      <c r="O1187" s="259"/>
      <c r="P1187" s="259"/>
      <c r="Q1187" s="259"/>
      <c r="R1187" s="259"/>
      <c r="S1187" s="259"/>
      <c r="T1187" s="259"/>
      <c r="U1187" s="259"/>
      <c r="V1187" s="259"/>
      <c r="W1187" s="259"/>
      <c r="X1187" s="259"/>
      <c r="Y1187" s="259"/>
      <c r="Z1187" s="259"/>
      <c r="AA1187" s="259"/>
    </row>
    <row r="1188" spans="1:27" s="258" customFormat="1" ht="16">
      <c r="A1188" s="259"/>
      <c r="B1188" s="259" t="s">
        <v>1975</v>
      </c>
      <c r="C1188" s="259"/>
      <c r="D1188" s="259"/>
      <c r="E1188" s="259"/>
      <c r="F1188" s="259"/>
      <c r="G1188" s="259"/>
      <c r="H1188" s="259"/>
      <c r="I1188" s="259"/>
      <c r="J1188" s="259"/>
      <c r="K1188" s="259"/>
      <c r="L1188" s="259"/>
      <c r="M1188" s="259"/>
      <c r="N1188" s="259"/>
      <c r="O1188" s="259"/>
      <c r="P1188" s="259"/>
      <c r="Q1188" s="259"/>
      <c r="R1188" s="259"/>
      <c r="S1188" s="259"/>
      <c r="T1188" s="259"/>
      <c r="U1188" s="259"/>
      <c r="V1188" s="259"/>
      <c r="W1188" s="259"/>
      <c r="X1188" s="259"/>
      <c r="Y1188" s="259"/>
      <c r="Z1188" s="259"/>
      <c r="AA1188" s="259"/>
    </row>
    <row r="1189" spans="1:27" s="258" customFormat="1" ht="16">
      <c r="A1189" s="259"/>
      <c r="B1189" s="259"/>
      <c r="C1189" s="259"/>
      <c r="D1189" s="259"/>
      <c r="E1189" s="259"/>
      <c r="F1189" s="259"/>
      <c r="G1189" s="259"/>
      <c r="H1189" s="259"/>
      <c r="I1189" s="259"/>
      <c r="J1189" s="259"/>
      <c r="K1189" s="259"/>
      <c r="L1189" s="259"/>
      <c r="M1189" s="259"/>
      <c r="N1189" s="259"/>
      <c r="O1189" s="259"/>
      <c r="P1189" s="259"/>
      <c r="Q1189" s="259"/>
      <c r="R1189" s="259"/>
      <c r="S1189" s="259"/>
      <c r="T1189" s="259"/>
      <c r="U1189" s="259"/>
      <c r="V1189" s="259"/>
      <c r="W1189" s="259"/>
      <c r="X1189" s="259"/>
      <c r="Y1189" s="259"/>
      <c r="Z1189" s="259"/>
      <c r="AA1189" s="259"/>
    </row>
    <row r="1190" spans="1:27" s="258" customFormat="1" ht="16">
      <c r="A1190" s="259" t="s">
        <v>1976</v>
      </c>
      <c r="B1190" s="259"/>
      <c r="C1190" s="259"/>
      <c r="D1190" s="259"/>
      <c r="E1190" s="259"/>
      <c r="F1190" s="259"/>
      <c r="G1190" s="259"/>
      <c r="H1190" s="259"/>
      <c r="I1190" s="259"/>
      <c r="J1190" s="259"/>
      <c r="K1190" s="259"/>
      <c r="L1190" s="259"/>
      <c r="M1190" s="259"/>
      <c r="N1190" s="259"/>
      <c r="O1190" s="259"/>
      <c r="P1190" s="259"/>
      <c r="Q1190" s="259"/>
      <c r="R1190" s="259"/>
      <c r="S1190" s="259"/>
      <c r="T1190" s="259"/>
      <c r="U1190" s="259"/>
      <c r="V1190" s="259"/>
      <c r="W1190" s="259"/>
      <c r="X1190" s="259"/>
      <c r="Y1190" s="259"/>
      <c r="Z1190" s="259"/>
      <c r="AA1190" s="259"/>
    </row>
    <row r="1191" spans="1:27" s="258" customFormat="1" ht="16">
      <c r="A1191" s="259"/>
      <c r="B1191" s="259" t="s">
        <v>1977</v>
      </c>
      <c r="C1191" s="259"/>
      <c r="D1191" s="259"/>
      <c r="E1191" s="259"/>
      <c r="F1191" s="259"/>
      <c r="G1191" s="259"/>
      <c r="H1191" s="259"/>
      <c r="I1191" s="259"/>
      <c r="J1191" s="259"/>
      <c r="K1191" s="259"/>
      <c r="L1191" s="259"/>
      <c r="M1191" s="259"/>
      <c r="N1191" s="259"/>
      <c r="O1191" s="259"/>
      <c r="P1191" s="259"/>
      <c r="Q1191" s="259"/>
      <c r="R1191" s="259"/>
      <c r="S1191" s="259"/>
      <c r="T1191" s="259"/>
      <c r="U1191" s="259"/>
      <c r="V1191" s="259"/>
      <c r="W1191" s="259"/>
      <c r="X1191" s="259"/>
      <c r="Y1191" s="259"/>
      <c r="Z1191" s="259"/>
      <c r="AA1191" s="259"/>
    </row>
    <row r="1192" spans="1:27" s="258" customFormat="1" ht="16">
      <c r="A1192" s="259"/>
      <c r="B1192" s="259" t="s">
        <v>1978</v>
      </c>
      <c r="C1192" s="259"/>
      <c r="D1192" s="259"/>
      <c r="E1192" s="259"/>
      <c r="F1192" s="259"/>
      <c r="G1192" s="259"/>
      <c r="H1192" s="259"/>
      <c r="I1192" s="259"/>
      <c r="J1192" s="259"/>
      <c r="K1192" s="259"/>
      <c r="L1192" s="259"/>
      <c r="M1192" s="259"/>
      <c r="N1192" s="259"/>
      <c r="O1192" s="259"/>
      <c r="P1192" s="259"/>
      <c r="Q1192" s="259"/>
      <c r="R1192" s="259"/>
      <c r="S1192" s="259"/>
      <c r="T1192" s="259"/>
      <c r="U1192" s="259"/>
      <c r="V1192" s="259"/>
      <c r="W1192" s="259"/>
      <c r="X1192" s="259"/>
      <c r="Y1192" s="259"/>
      <c r="Z1192" s="259"/>
      <c r="AA1192" s="259"/>
    </row>
    <row r="1193" spans="1:27" s="258" customFormat="1" ht="16">
      <c r="A1193" s="259"/>
      <c r="B1193" s="259" t="s">
        <v>1979</v>
      </c>
      <c r="C1193" s="259"/>
      <c r="D1193" s="259"/>
      <c r="E1193" s="259"/>
      <c r="F1193" s="259"/>
      <c r="G1193" s="259"/>
      <c r="H1193" s="259"/>
      <c r="I1193" s="259"/>
      <c r="J1193" s="259"/>
      <c r="K1193" s="259"/>
      <c r="L1193" s="259"/>
      <c r="M1193" s="259"/>
      <c r="N1193" s="259"/>
      <c r="O1193" s="259"/>
      <c r="P1193" s="259"/>
      <c r="Q1193" s="259"/>
      <c r="R1193" s="259"/>
      <c r="S1193" s="259"/>
      <c r="T1193" s="259"/>
      <c r="U1193" s="259"/>
      <c r="V1193" s="259"/>
      <c r="W1193" s="259"/>
      <c r="X1193" s="259"/>
      <c r="Y1193" s="259"/>
      <c r="Z1193" s="259"/>
      <c r="AA1193" s="259"/>
    </row>
    <row r="1194" spans="1:27" s="258" customFormat="1" ht="16">
      <c r="A1194" s="259"/>
      <c r="B1194" s="259" t="s">
        <v>1980</v>
      </c>
      <c r="C1194" s="259"/>
      <c r="D1194" s="259"/>
      <c r="E1194" s="259"/>
      <c r="F1194" s="259"/>
      <c r="G1194" s="259"/>
      <c r="H1194" s="259"/>
      <c r="I1194" s="259"/>
      <c r="J1194" s="259"/>
      <c r="K1194" s="259"/>
      <c r="L1194" s="259"/>
      <c r="M1194" s="259"/>
      <c r="N1194" s="259"/>
      <c r="O1194" s="259"/>
      <c r="P1194" s="259"/>
      <c r="Q1194" s="259"/>
      <c r="R1194" s="259"/>
      <c r="S1194" s="259"/>
      <c r="T1194" s="259"/>
      <c r="U1194" s="259"/>
      <c r="V1194" s="259"/>
      <c r="W1194" s="259"/>
      <c r="X1194" s="259"/>
      <c r="Y1194" s="259"/>
      <c r="Z1194" s="259"/>
      <c r="AA1194" s="259"/>
    </row>
    <row r="1195" spans="1:27" s="258" customFormat="1" ht="16">
      <c r="A1195" s="259"/>
      <c r="B1195" s="259"/>
      <c r="C1195" s="259"/>
      <c r="D1195" s="259"/>
      <c r="E1195" s="259"/>
      <c r="F1195" s="259"/>
      <c r="G1195" s="259"/>
      <c r="H1195" s="259"/>
      <c r="I1195" s="259"/>
      <c r="J1195" s="259"/>
      <c r="K1195" s="259"/>
      <c r="L1195" s="259"/>
      <c r="M1195" s="259"/>
      <c r="N1195" s="259"/>
      <c r="O1195" s="259"/>
      <c r="P1195" s="259"/>
      <c r="Q1195" s="259"/>
      <c r="R1195" s="259"/>
      <c r="S1195" s="259"/>
      <c r="T1195" s="259"/>
      <c r="U1195" s="259"/>
      <c r="V1195" s="259"/>
      <c r="W1195" s="259"/>
      <c r="X1195" s="259"/>
      <c r="Y1195" s="259"/>
      <c r="Z1195" s="259"/>
      <c r="AA1195" s="259"/>
    </row>
    <row r="1196" spans="1:27" s="258" customFormat="1" ht="16">
      <c r="A1196" s="259" t="s">
        <v>1981</v>
      </c>
      <c r="B1196" s="259"/>
      <c r="C1196" s="259"/>
      <c r="D1196" s="259"/>
      <c r="E1196" s="259"/>
      <c r="F1196" s="259"/>
      <c r="G1196" s="259"/>
      <c r="H1196" s="259"/>
      <c r="I1196" s="259"/>
      <c r="J1196" s="259"/>
      <c r="K1196" s="259"/>
      <c r="L1196" s="259"/>
      <c r="M1196" s="259"/>
      <c r="N1196" s="259"/>
      <c r="O1196" s="259"/>
      <c r="P1196" s="259"/>
      <c r="Q1196" s="259"/>
      <c r="R1196" s="259"/>
      <c r="S1196" s="259"/>
      <c r="T1196" s="259"/>
      <c r="U1196" s="259"/>
      <c r="V1196" s="259"/>
      <c r="W1196" s="259"/>
      <c r="X1196" s="259"/>
      <c r="Y1196" s="259"/>
      <c r="Z1196" s="259"/>
      <c r="AA1196" s="259"/>
    </row>
    <row r="1197" spans="1:27" s="258" customFormat="1" ht="16">
      <c r="A1197" s="259"/>
      <c r="B1197" s="259" t="s">
        <v>1982</v>
      </c>
      <c r="C1197" s="259"/>
      <c r="D1197" s="259"/>
      <c r="E1197" s="259"/>
      <c r="F1197" s="259"/>
      <c r="G1197" s="259"/>
      <c r="H1197" s="259"/>
      <c r="I1197" s="259"/>
      <c r="J1197" s="259"/>
      <c r="K1197" s="259"/>
      <c r="L1197" s="259"/>
      <c r="M1197" s="259"/>
      <c r="N1197" s="259"/>
      <c r="O1197" s="259"/>
      <c r="P1197" s="259"/>
      <c r="Q1197" s="259"/>
      <c r="R1197" s="259"/>
      <c r="S1197" s="259"/>
      <c r="T1197" s="259"/>
      <c r="U1197" s="259"/>
      <c r="V1197" s="259"/>
      <c r="W1197" s="259"/>
      <c r="X1197" s="259"/>
      <c r="Y1197" s="259"/>
      <c r="Z1197" s="259"/>
      <c r="AA1197" s="259"/>
    </row>
    <row r="1198" spans="1:27" s="258" customFormat="1" ht="16">
      <c r="A1198" s="259"/>
      <c r="B1198" s="259" t="s">
        <v>1983</v>
      </c>
      <c r="C1198" s="259"/>
      <c r="D1198" s="259"/>
      <c r="E1198" s="259"/>
      <c r="F1198" s="259"/>
      <c r="G1198" s="259"/>
      <c r="H1198" s="259"/>
      <c r="I1198" s="259"/>
      <c r="J1198" s="259"/>
      <c r="K1198" s="259"/>
      <c r="L1198" s="259"/>
      <c r="M1198" s="259"/>
      <c r="N1198" s="259"/>
      <c r="O1198" s="259"/>
      <c r="P1198" s="259"/>
      <c r="Q1198" s="259"/>
      <c r="R1198" s="259"/>
      <c r="S1198" s="259"/>
      <c r="T1198" s="259"/>
      <c r="U1198" s="259"/>
      <c r="V1198" s="259"/>
      <c r="W1198" s="259"/>
      <c r="X1198" s="259"/>
      <c r="Y1198" s="259"/>
      <c r="Z1198" s="259"/>
      <c r="AA1198" s="259"/>
    </row>
    <row r="1199" spans="1:27" s="258" customFormat="1" ht="16">
      <c r="A1199" s="259"/>
      <c r="B1199" s="259"/>
      <c r="C1199" s="259"/>
      <c r="D1199" s="259"/>
      <c r="E1199" s="259"/>
      <c r="F1199" s="259"/>
      <c r="G1199" s="259"/>
      <c r="H1199" s="259"/>
      <c r="I1199" s="259"/>
      <c r="J1199" s="259"/>
      <c r="K1199" s="259"/>
      <c r="L1199" s="259"/>
      <c r="M1199" s="259"/>
      <c r="N1199" s="259"/>
      <c r="O1199" s="259"/>
      <c r="P1199" s="259"/>
      <c r="Q1199" s="259"/>
      <c r="R1199" s="259"/>
      <c r="S1199" s="259"/>
      <c r="T1199" s="259"/>
      <c r="U1199" s="259"/>
      <c r="V1199" s="259"/>
      <c r="W1199" s="259"/>
      <c r="X1199" s="259"/>
      <c r="Y1199" s="259"/>
      <c r="Z1199" s="259"/>
      <c r="AA1199" s="259"/>
    </row>
    <row r="1200" spans="1:27" s="258" customFormat="1" ht="16">
      <c r="A1200" s="259" t="s">
        <v>1984</v>
      </c>
      <c r="B1200" s="259"/>
      <c r="C1200" s="259"/>
      <c r="D1200" s="259"/>
      <c r="E1200" s="259"/>
      <c r="F1200" s="259"/>
      <c r="G1200" s="259"/>
      <c r="H1200" s="259"/>
      <c r="I1200" s="259"/>
      <c r="J1200" s="259"/>
      <c r="K1200" s="259"/>
      <c r="L1200" s="259"/>
      <c r="M1200" s="259"/>
      <c r="N1200" s="259"/>
      <c r="O1200" s="259"/>
      <c r="P1200" s="259"/>
      <c r="Q1200" s="259"/>
      <c r="R1200" s="259"/>
      <c r="S1200" s="259"/>
      <c r="T1200" s="259"/>
      <c r="U1200" s="259"/>
      <c r="V1200" s="259"/>
      <c r="W1200" s="259"/>
      <c r="X1200" s="259"/>
      <c r="Y1200" s="259"/>
      <c r="Z1200" s="259"/>
      <c r="AA1200" s="259"/>
    </row>
    <row r="1201" spans="1:27" s="258" customFormat="1" ht="16">
      <c r="A1201" s="259"/>
      <c r="B1201" s="259" t="s">
        <v>1985</v>
      </c>
      <c r="C1201" s="259"/>
      <c r="D1201" s="259"/>
      <c r="E1201" s="259"/>
      <c r="F1201" s="259"/>
      <c r="G1201" s="259"/>
      <c r="H1201" s="259"/>
      <c r="I1201" s="259"/>
      <c r="J1201" s="259"/>
      <c r="K1201" s="259"/>
      <c r="L1201" s="259"/>
      <c r="M1201" s="259"/>
      <c r="N1201" s="259"/>
      <c r="O1201" s="259"/>
      <c r="P1201" s="259"/>
      <c r="Q1201" s="259"/>
      <c r="R1201" s="259"/>
      <c r="S1201" s="259"/>
      <c r="T1201" s="259"/>
      <c r="U1201" s="259"/>
      <c r="V1201" s="259"/>
      <c r="W1201" s="259"/>
      <c r="X1201" s="259"/>
      <c r="Y1201" s="259"/>
      <c r="Z1201" s="259"/>
      <c r="AA1201" s="259"/>
    </row>
    <row r="1202" spans="1:27" s="258" customFormat="1" ht="16">
      <c r="A1202" s="259"/>
      <c r="B1202" s="259"/>
      <c r="C1202" s="259"/>
      <c r="D1202" s="259"/>
      <c r="E1202" s="259"/>
      <c r="F1202" s="259"/>
      <c r="G1202" s="259"/>
      <c r="H1202" s="259"/>
      <c r="I1202" s="259"/>
      <c r="J1202" s="259"/>
      <c r="K1202" s="259"/>
      <c r="L1202" s="259"/>
      <c r="M1202" s="259"/>
      <c r="N1202" s="259"/>
      <c r="O1202" s="259"/>
      <c r="P1202" s="259"/>
      <c r="Q1202" s="259"/>
      <c r="R1202" s="259"/>
      <c r="S1202" s="259"/>
      <c r="T1202" s="259"/>
      <c r="U1202" s="259"/>
      <c r="V1202" s="259"/>
      <c r="W1202" s="259"/>
      <c r="X1202" s="259"/>
      <c r="Y1202" s="259"/>
      <c r="Z1202" s="259"/>
      <c r="AA1202" s="259"/>
    </row>
    <row r="1203" spans="1:27" s="258" customFormat="1" ht="16">
      <c r="A1203" s="259"/>
      <c r="B1203" s="259"/>
      <c r="C1203" s="259"/>
      <c r="D1203" s="259"/>
      <c r="E1203" s="259"/>
      <c r="F1203" s="259"/>
      <c r="G1203" s="259"/>
      <c r="H1203" s="259"/>
      <c r="I1203" s="259"/>
      <c r="J1203" s="259"/>
      <c r="K1203" s="259"/>
      <c r="L1203" s="259"/>
      <c r="M1203" s="259"/>
      <c r="N1203" s="259"/>
      <c r="O1203" s="259"/>
      <c r="P1203" s="259"/>
      <c r="Q1203" s="259"/>
      <c r="R1203" s="259"/>
      <c r="S1203" s="259"/>
      <c r="T1203" s="259"/>
      <c r="U1203" s="259"/>
      <c r="V1203" s="259"/>
      <c r="W1203" s="259"/>
      <c r="X1203" s="259"/>
      <c r="Y1203" s="259"/>
      <c r="Z1203" s="259"/>
      <c r="AA1203" s="259"/>
    </row>
    <row r="1204" spans="1:27" s="258" customFormat="1" ht="16">
      <c r="A1204" s="259"/>
      <c r="B1204" s="259"/>
      <c r="C1204" s="259"/>
      <c r="D1204" s="259"/>
      <c r="E1204" s="259"/>
      <c r="F1204" s="259"/>
      <c r="G1204" s="259"/>
      <c r="H1204" s="259"/>
      <c r="I1204" s="259"/>
      <c r="J1204" s="259"/>
      <c r="K1204" s="259"/>
      <c r="L1204" s="259"/>
      <c r="M1204" s="259"/>
      <c r="N1204" s="259"/>
      <c r="O1204" s="259"/>
      <c r="P1204" s="259"/>
      <c r="Q1204" s="259"/>
      <c r="R1204" s="259"/>
      <c r="S1204" s="259"/>
      <c r="T1204" s="259"/>
      <c r="U1204" s="259"/>
      <c r="V1204" s="259"/>
      <c r="W1204" s="259"/>
      <c r="X1204" s="259"/>
      <c r="Y1204" s="259"/>
      <c r="Z1204" s="259"/>
      <c r="AA1204" s="259"/>
    </row>
    <row r="1205" spans="1:27" s="258" customFormat="1" ht="16">
      <c r="A1205" s="259"/>
      <c r="B1205" s="259"/>
      <c r="C1205" s="259"/>
      <c r="D1205" s="259"/>
      <c r="E1205" s="259"/>
      <c r="F1205" s="259"/>
      <c r="G1205" s="259"/>
      <c r="H1205" s="259"/>
      <c r="I1205" s="259"/>
      <c r="J1205" s="259"/>
      <c r="K1205" s="259"/>
      <c r="L1205" s="259"/>
      <c r="M1205" s="259"/>
      <c r="N1205" s="259"/>
      <c r="O1205" s="259"/>
      <c r="P1205" s="259"/>
      <c r="Q1205" s="259"/>
      <c r="R1205" s="259"/>
      <c r="S1205" s="259"/>
      <c r="T1205" s="259"/>
      <c r="U1205" s="259"/>
      <c r="V1205" s="259"/>
      <c r="W1205" s="259"/>
      <c r="X1205" s="259"/>
      <c r="Y1205" s="259"/>
      <c r="Z1205" s="259"/>
      <c r="AA1205" s="259"/>
    </row>
    <row r="1206" spans="1:27" s="303" customFormat="1" ht="16">
      <c r="A1206" s="675" t="s">
        <v>703</v>
      </c>
      <c r="B1206" s="676"/>
      <c r="C1206" s="676"/>
      <c r="D1206" s="676"/>
      <c r="E1206" s="676"/>
      <c r="F1206" s="676"/>
      <c r="G1206" s="676"/>
      <c r="H1206" s="676"/>
      <c r="I1206" s="676"/>
      <c r="J1206" s="676"/>
      <c r="K1206" s="676"/>
      <c r="L1206" s="676"/>
      <c r="M1206" s="676"/>
      <c r="N1206" s="304"/>
      <c r="O1206" s="304"/>
      <c r="P1206" s="304"/>
      <c r="Q1206" s="304"/>
      <c r="R1206" s="304"/>
      <c r="S1206" s="304"/>
      <c r="T1206" s="304"/>
      <c r="U1206" s="304"/>
      <c r="V1206" s="304"/>
      <c r="W1206" s="304"/>
      <c r="X1206" s="304"/>
      <c r="Y1206" s="304"/>
      <c r="Z1206" s="304"/>
      <c r="AA1206" s="304"/>
    </row>
    <row r="1207" spans="1:27" s="303" customFormat="1" ht="16">
      <c r="A1207" s="304"/>
      <c r="B1207" s="304"/>
      <c r="C1207" s="304"/>
      <c r="D1207" s="304"/>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5" t="s">
        <v>704</v>
      </c>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4"/>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4" t="s">
        <v>564</v>
      </c>
      <c r="D1210" s="304" t="s">
        <v>565</v>
      </c>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t="s">
        <v>705</v>
      </c>
      <c r="B1211" s="306"/>
      <c r="D1211" s="307">
        <v>500000</v>
      </c>
      <c r="E1211" s="304"/>
      <c r="F1211" s="304"/>
      <c r="G1211" s="304"/>
      <c r="H1211" s="304"/>
      <c r="I1211" s="304"/>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16">
      <c r="A1212" s="304" t="s">
        <v>706</v>
      </c>
      <c r="B1212" s="306"/>
      <c r="D1212" s="307">
        <v>30000</v>
      </c>
      <c r="E1212" s="304"/>
      <c r="F1212" s="304"/>
      <c r="G1212" s="304"/>
      <c r="H1212" s="304"/>
      <c r="I1212" s="304"/>
      <c r="J1212" s="304"/>
      <c r="K1212" s="304"/>
      <c r="L1212" s="304"/>
      <c r="M1212" s="304"/>
      <c r="N1212" s="304"/>
      <c r="O1212" s="304"/>
      <c r="P1212" s="304"/>
      <c r="Q1212" s="304"/>
      <c r="R1212" s="304"/>
      <c r="S1212" s="304"/>
      <c r="T1212" s="304"/>
      <c r="U1212" s="304"/>
      <c r="V1212" s="304"/>
      <c r="W1212" s="304"/>
      <c r="X1212" s="304"/>
      <c r="Y1212" s="304"/>
      <c r="Z1212" s="304"/>
      <c r="AA1212" s="304"/>
    </row>
    <row r="1213" spans="1:27" s="303" customFormat="1" ht="16">
      <c r="A1213" s="304" t="s">
        <v>66</v>
      </c>
      <c r="B1213" s="306"/>
      <c r="D1213" s="307">
        <v>120000</v>
      </c>
      <c r="E1213" s="304"/>
      <c r="F1213" s="304"/>
      <c r="G1213" s="304"/>
      <c r="H1213" s="304"/>
      <c r="I1213" s="304"/>
      <c r="J1213" s="304"/>
      <c r="K1213" s="304"/>
      <c r="L1213" s="304"/>
      <c r="M1213" s="304"/>
      <c r="N1213" s="304"/>
      <c r="O1213" s="304"/>
      <c r="P1213" s="304"/>
      <c r="Q1213" s="304"/>
      <c r="R1213" s="304"/>
      <c r="S1213" s="304"/>
      <c r="T1213" s="304"/>
      <c r="U1213" s="304"/>
      <c r="V1213" s="304"/>
      <c r="W1213" s="304"/>
      <c r="X1213" s="304"/>
      <c r="Y1213" s="304"/>
      <c r="Z1213" s="304"/>
      <c r="AA1213" s="304"/>
    </row>
    <row r="1214" spans="1:27" s="303" customFormat="1" ht="16">
      <c r="A1214" s="304" t="s">
        <v>707</v>
      </c>
      <c r="B1214" s="306"/>
      <c r="D1214" s="307">
        <v>300000</v>
      </c>
      <c r="E1214" s="304"/>
      <c r="F1214" s="304"/>
      <c r="G1214" s="304"/>
      <c r="H1214" s="304"/>
      <c r="I1214" s="304"/>
      <c r="J1214" s="304"/>
      <c r="K1214" s="304"/>
      <c r="L1214" s="304"/>
      <c r="M1214" s="304"/>
      <c r="N1214" s="304"/>
      <c r="O1214" s="304"/>
      <c r="P1214" s="304"/>
      <c r="Q1214" s="304"/>
      <c r="R1214" s="304"/>
      <c r="S1214" s="304"/>
      <c r="T1214" s="304"/>
      <c r="U1214" s="304"/>
      <c r="V1214" s="304"/>
      <c r="W1214" s="304"/>
      <c r="X1214" s="304"/>
      <c r="Y1214" s="304"/>
      <c r="Z1214" s="304"/>
      <c r="AA1214" s="304"/>
    </row>
    <row r="1215" spans="1:27" s="303" customFormat="1" ht="16">
      <c r="A1215" s="304" t="s">
        <v>708</v>
      </c>
      <c r="B1215" s="306"/>
      <c r="D1215" s="307">
        <v>160000</v>
      </c>
      <c r="E1215" s="304"/>
      <c r="F1215" s="304"/>
      <c r="G1215" s="304"/>
      <c r="H1215" s="304"/>
      <c r="I1215" s="304"/>
      <c r="J1215" s="304"/>
      <c r="K1215" s="304"/>
      <c r="L1215" s="304"/>
      <c r="M1215" s="304"/>
      <c r="N1215" s="304"/>
      <c r="O1215" s="304"/>
      <c r="P1215" s="304"/>
      <c r="Q1215" s="304"/>
      <c r="R1215" s="304"/>
      <c r="S1215" s="304"/>
      <c r="T1215" s="304"/>
      <c r="U1215" s="304"/>
      <c r="V1215" s="304"/>
      <c r="W1215" s="304"/>
      <c r="X1215" s="304"/>
      <c r="Y1215" s="304"/>
      <c r="Z1215" s="304"/>
      <c r="AA1215" s="304"/>
    </row>
    <row r="1216" spans="1:27" s="303" customFormat="1" ht="16">
      <c r="A1216" s="304" t="s">
        <v>709</v>
      </c>
      <c r="B1216" s="306"/>
      <c r="D1216" s="307">
        <v>12000</v>
      </c>
      <c r="E1216" s="304"/>
      <c r="F1216" s="304"/>
      <c r="G1216" s="304"/>
      <c r="H1216" s="304"/>
      <c r="I1216" s="304"/>
      <c r="J1216" s="304"/>
      <c r="K1216" s="304"/>
      <c r="L1216" s="304"/>
      <c r="M1216" s="304"/>
      <c r="N1216" s="304"/>
      <c r="O1216" s="304"/>
      <c r="P1216" s="304"/>
      <c r="Q1216" s="304"/>
      <c r="R1216" s="304"/>
      <c r="S1216" s="304"/>
      <c r="T1216" s="304"/>
      <c r="U1216" s="304"/>
      <c r="V1216" s="304"/>
      <c r="W1216" s="304"/>
      <c r="X1216" s="304"/>
      <c r="Y1216" s="304"/>
      <c r="Z1216" s="304"/>
      <c r="AA1216" s="304"/>
    </row>
    <row r="1217" spans="1:27" s="303" customFormat="1" ht="16">
      <c r="A1217" s="304" t="s">
        <v>557</v>
      </c>
      <c r="B1217" s="306"/>
      <c r="D1217" s="307">
        <v>35000</v>
      </c>
      <c r="E1217" s="304"/>
      <c r="F1217" s="304"/>
      <c r="G1217" s="304"/>
      <c r="H1217" s="304"/>
      <c r="I1217" s="304"/>
      <c r="J1217" s="304"/>
      <c r="K1217" s="304"/>
      <c r="L1217" s="304"/>
      <c r="M1217" s="304"/>
      <c r="N1217" s="304"/>
      <c r="O1217" s="304"/>
      <c r="P1217" s="304"/>
      <c r="Q1217" s="304"/>
      <c r="R1217" s="304"/>
      <c r="S1217" s="304"/>
      <c r="T1217" s="304"/>
      <c r="U1217" s="304"/>
      <c r="V1217" s="304"/>
      <c r="W1217" s="304"/>
      <c r="X1217" s="304"/>
      <c r="Y1217" s="304"/>
      <c r="Z1217" s="304"/>
      <c r="AA1217" s="304"/>
    </row>
    <row r="1218" spans="1:27" s="303" customFormat="1" ht="16">
      <c r="A1218" s="304" t="s">
        <v>710</v>
      </c>
      <c r="B1218" s="306"/>
      <c r="D1218" s="307">
        <v>44000</v>
      </c>
      <c r="E1218" s="304"/>
      <c r="F1218" s="304"/>
      <c r="G1218" s="304"/>
      <c r="H1218" s="304"/>
      <c r="I1218" s="304"/>
      <c r="J1218" s="304"/>
      <c r="K1218" s="304"/>
      <c r="L1218" s="304"/>
      <c r="M1218" s="304"/>
      <c r="N1218" s="304"/>
      <c r="O1218" s="304"/>
      <c r="P1218" s="304"/>
      <c r="Q1218" s="304"/>
      <c r="R1218" s="304"/>
      <c r="S1218" s="304"/>
      <c r="T1218" s="304"/>
      <c r="U1218" s="304"/>
      <c r="V1218" s="304"/>
      <c r="W1218" s="304"/>
      <c r="X1218" s="304"/>
      <c r="Y1218" s="304"/>
      <c r="Z1218" s="304"/>
      <c r="AA1218" s="304"/>
    </row>
    <row r="1219" spans="1:27" s="303" customFormat="1" ht="16">
      <c r="A1219" s="304" t="s">
        <v>711</v>
      </c>
      <c r="B1219" s="306"/>
      <c r="D1219" s="307">
        <v>320000</v>
      </c>
      <c r="E1219" s="304"/>
      <c r="F1219" s="304"/>
      <c r="G1219" s="304"/>
      <c r="H1219" s="304"/>
      <c r="I1219" s="304"/>
      <c r="J1219" s="304"/>
      <c r="K1219" s="304"/>
      <c r="L1219" s="304"/>
      <c r="M1219" s="304"/>
      <c r="N1219" s="304"/>
      <c r="O1219" s="304"/>
      <c r="P1219" s="304"/>
      <c r="Q1219" s="304"/>
      <c r="R1219" s="304"/>
      <c r="S1219" s="304"/>
      <c r="T1219" s="304"/>
      <c r="U1219" s="304"/>
      <c r="V1219" s="304"/>
      <c r="W1219" s="304"/>
      <c r="X1219" s="304"/>
      <c r="Y1219" s="304"/>
      <c r="Z1219" s="304"/>
      <c r="AA1219" s="304"/>
    </row>
    <row r="1220" spans="1:27" s="303" customFormat="1" ht="16">
      <c r="A1220" s="304" t="s">
        <v>712</v>
      </c>
      <c r="B1220" s="306"/>
      <c r="D1220" s="307">
        <v>20000</v>
      </c>
      <c r="E1220" s="304"/>
      <c r="F1220" s="304"/>
      <c r="G1220" s="304"/>
      <c r="H1220" s="304"/>
      <c r="I1220" s="304"/>
      <c r="J1220" s="304"/>
      <c r="K1220" s="304"/>
      <c r="L1220" s="304"/>
      <c r="M1220" s="304"/>
      <c r="N1220" s="304"/>
      <c r="O1220" s="304"/>
      <c r="P1220" s="304"/>
      <c r="Q1220" s="304"/>
      <c r="R1220" s="304"/>
      <c r="S1220" s="304"/>
      <c r="T1220" s="304"/>
      <c r="U1220" s="304"/>
      <c r="V1220" s="304"/>
      <c r="W1220" s="304"/>
      <c r="X1220" s="304"/>
      <c r="Y1220" s="304"/>
      <c r="Z1220" s="304"/>
      <c r="AA1220" s="304"/>
    </row>
    <row r="1221" spans="1:27" s="303" customFormat="1" ht="16">
      <c r="A1221" s="304" t="s">
        <v>79</v>
      </c>
      <c r="B1221" s="306"/>
      <c r="D1221" s="308">
        <v>840000</v>
      </c>
      <c r="E1221" s="304"/>
      <c r="F1221" s="304"/>
      <c r="G1221" s="304"/>
      <c r="H1221" s="304"/>
      <c r="I1221" s="304"/>
      <c r="J1221" s="304"/>
      <c r="K1221" s="304"/>
      <c r="L1221" s="304"/>
      <c r="M1221" s="304"/>
      <c r="N1221" s="304"/>
      <c r="O1221" s="304"/>
      <c r="P1221" s="304"/>
      <c r="Q1221" s="304"/>
      <c r="R1221" s="304"/>
      <c r="S1221" s="304"/>
      <c r="T1221" s="304"/>
      <c r="U1221" s="304"/>
      <c r="V1221" s="304"/>
      <c r="W1221" s="304"/>
      <c r="X1221" s="304"/>
      <c r="Y1221" s="304"/>
      <c r="Z1221" s="304"/>
      <c r="AA1221" s="304"/>
    </row>
    <row r="1222" spans="1:27" s="303" customFormat="1" ht="16">
      <c r="A1222" s="304" t="s">
        <v>713</v>
      </c>
      <c r="B1222" s="306"/>
      <c r="D1222" s="308">
        <v>34000</v>
      </c>
      <c r="E1222" s="304"/>
      <c r="F1222" s="304"/>
      <c r="G1222" s="304"/>
      <c r="H1222" s="304"/>
      <c r="I1222" s="304"/>
      <c r="J1222" s="304"/>
      <c r="K1222" s="304"/>
      <c r="L1222" s="304"/>
      <c r="M1222" s="304"/>
      <c r="N1222" s="304"/>
      <c r="O1222" s="304"/>
      <c r="P1222" s="304"/>
      <c r="Q1222" s="304"/>
      <c r="R1222" s="304"/>
      <c r="S1222" s="304"/>
      <c r="T1222" s="304"/>
      <c r="U1222" s="304"/>
      <c r="V1222" s="304"/>
      <c r="W1222" s="304"/>
      <c r="X1222" s="304"/>
      <c r="Y1222" s="304"/>
      <c r="Z1222" s="304"/>
      <c r="AA1222" s="304"/>
    </row>
    <row r="1223" spans="1:27" s="303" customFormat="1" ht="16">
      <c r="A1223" s="304" t="s">
        <v>714</v>
      </c>
      <c r="B1223" s="306"/>
      <c r="D1223" s="308">
        <v>22000</v>
      </c>
      <c r="E1223" s="304"/>
      <c r="F1223" s="304"/>
      <c r="G1223" s="304"/>
      <c r="H1223" s="304"/>
      <c r="I1223" s="304"/>
      <c r="J1223" s="304"/>
      <c r="K1223" s="304"/>
      <c r="L1223" s="304"/>
      <c r="M1223" s="304"/>
      <c r="N1223" s="304"/>
      <c r="O1223" s="304"/>
      <c r="P1223" s="304"/>
      <c r="Q1223" s="304"/>
      <c r="R1223" s="304"/>
      <c r="S1223" s="304"/>
      <c r="T1223" s="304"/>
      <c r="U1223" s="304"/>
      <c r="V1223" s="304"/>
      <c r="W1223" s="304"/>
      <c r="X1223" s="304"/>
      <c r="Y1223" s="304"/>
      <c r="Z1223" s="304"/>
      <c r="AA1223" s="304"/>
    </row>
    <row r="1224" spans="1:27" s="303" customFormat="1" ht="16">
      <c r="A1224" s="304" t="s">
        <v>81</v>
      </c>
      <c r="B1224" s="306"/>
      <c r="D1224" s="308">
        <v>102000</v>
      </c>
      <c r="E1224" s="304"/>
      <c r="F1224" s="304"/>
      <c r="G1224" s="304"/>
      <c r="H1224" s="304"/>
      <c r="I1224" s="304"/>
      <c r="J1224" s="304"/>
      <c r="K1224" s="304"/>
      <c r="L1224" s="304"/>
      <c r="M1224" s="304"/>
      <c r="N1224" s="304"/>
      <c r="O1224" s="304"/>
      <c r="P1224" s="304"/>
      <c r="Q1224" s="304"/>
      <c r="R1224" s="304"/>
      <c r="S1224" s="304"/>
      <c r="T1224" s="304"/>
      <c r="U1224" s="304"/>
      <c r="V1224" s="304"/>
      <c r="W1224" s="304"/>
      <c r="X1224" s="304"/>
      <c r="Y1224" s="304"/>
      <c r="Z1224" s="304"/>
      <c r="AA1224" s="304"/>
    </row>
    <row r="1225" spans="1:27" s="303" customFormat="1" ht="16">
      <c r="A1225" s="304" t="s">
        <v>69</v>
      </c>
      <c r="B1225" s="306"/>
      <c r="D1225" s="308">
        <v>20000</v>
      </c>
      <c r="E1225" s="304"/>
      <c r="F1225" s="304"/>
      <c r="G1225" s="304"/>
      <c r="H1225" s="304"/>
      <c r="I1225" s="304"/>
      <c r="J1225" s="304"/>
      <c r="K1225" s="304"/>
      <c r="L1225" s="304"/>
      <c r="M1225" s="304"/>
      <c r="N1225" s="304"/>
      <c r="O1225" s="304"/>
      <c r="P1225" s="304"/>
      <c r="Q1225" s="304"/>
      <c r="R1225" s="304"/>
      <c r="S1225" s="304"/>
      <c r="T1225" s="304"/>
      <c r="U1225" s="304"/>
      <c r="V1225" s="304"/>
      <c r="W1225" s="304"/>
      <c r="X1225" s="304"/>
      <c r="Y1225" s="304"/>
      <c r="Z1225" s="304"/>
      <c r="AA1225" s="304"/>
    </row>
    <row r="1226" spans="1:27" s="303" customFormat="1" ht="16">
      <c r="A1226" s="304" t="s">
        <v>715</v>
      </c>
      <c r="B1226" s="306"/>
      <c r="D1226" s="308">
        <v>31000</v>
      </c>
      <c r="E1226" s="304"/>
      <c r="F1226" s="304"/>
      <c r="G1226" s="304"/>
      <c r="H1226" s="304"/>
      <c r="I1226" s="304"/>
      <c r="J1226" s="304"/>
      <c r="K1226" s="304"/>
      <c r="L1226" s="304"/>
      <c r="M1226" s="304"/>
      <c r="N1226" s="304"/>
      <c r="O1226" s="304"/>
      <c r="P1226" s="304"/>
      <c r="Q1226" s="304"/>
      <c r="R1226" s="304"/>
      <c r="S1226" s="304"/>
      <c r="T1226" s="304"/>
      <c r="U1226" s="304"/>
      <c r="V1226" s="304"/>
      <c r="W1226" s="304"/>
      <c r="X1226" s="304"/>
      <c r="Y1226" s="304"/>
      <c r="Z1226" s="304"/>
      <c r="AA1226" s="304"/>
    </row>
    <row r="1227" spans="1:27" s="303" customFormat="1" ht="16">
      <c r="A1227" s="304" t="s">
        <v>716</v>
      </c>
      <c r="B1227" s="306"/>
      <c r="D1227" s="308">
        <v>111000</v>
      </c>
      <c r="E1227" s="304"/>
      <c r="F1227" s="304"/>
      <c r="G1227" s="304"/>
      <c r="H1227" s="304"/>
      <c r="I1227" s="304"/>
      <c r="J1227" s="304"/>
      <c r="K1227" s="304"/>
      <c r="L1227" s="304"/>
      <c r="M1227" s="304"/>
      <c r="N1227" s="304"/>
      <c r="O1227" s="304"/>
      <c r="P1227" s="304"/>
      <c r="Q1227" s="304"/>
      <c r="R1227" s="304"/>
      <c r="S1227" s="304"/>
      <c r="T1227" s="304"/>
      <c r="U1227" s="304"/>
      <c r="V1227" s="304"/>
      <c r="W1227" s="304"/>
      <c r="X1227" s="304"/>
      <c r="Y1227" s="304"/>
      <c r="Z1227" s="304"/>
      <c r="AA1227" s="304"/>
    </row>
    <row r="1228" spans="1:27" s="303" customFormat="1" ht="16">
      <c r="A1228" s="304" t="s">
        <v>717</v>
      </c>
      <c r="B1228" s="306"/>
      <c r="D1228" s="308">
        <v>68000</v>
      </c>
      <c r="E1228" s="304"/>
      <c r="F1228" s="304"/>
      <c r="G1228" s="304"/>
      <c r="H1228" s="304"/>
      <c r="I1228" s="304"/>
      <c r="J1228" s="304"/>
      <c r="K1228" s="304"/>
      <c r="L1228" s="304"/>
      <c r="M1228" s="304"/>
      <c r="N1228" s="304"/>
      <c r="O1228" s="304"/>
      <c r="P1228" s="304"/>
      <c r="Q1228" s="304"/>
      <c r="R1228" s="304"/>
      <c r="S1228" s="304"/>
      <c r="T1228" s="304"/>
      <c r="U1228" s="304"/>
      <c r="V1228" s="304"/>
      <c r="W1228" s="304"/>
      <c r="X1228" s="304"/>
      <c r="Y1228" s="304"/>
      <c r="Z1228" s="304"/>
      <c r="AA1228" s="304"/>
    </row>
    <row r="1229" spans="1:27" s="303" customFormat="1" ht="16">
      <c r="A1229" s="304" t="s">
        <v>718</v>
      </c>
      <c r="B1229" s="306"/>
      <c r="D1229" s="308">
        <v>12000</v>
      </c>
      <c r="E1229" s="304"/>
      <c r="F1229" s="304"/>
      <c r="G1229" s="304"/>
      <c r="H1229" s="304"/>
      <c r="I1229" s="304"/>
      <c r="J1229" s="304"/>
      <c r="K1229" s="304"/>
      <c r="L1229" s="304"/>
      <c r="M1229" s="304"/>
      <c r="N1229" s="304"/>
      <c r="O1229" s="304"/>
      <c r="P1229" s="304"/>
      <c r="Q1229" s="304"/>
      <c r="R1229" s="304"/>
      <c r="S1229" s="304"/>
      <c r="T1229" s="304"/>
      <c r="U1229" s="304"/>
      <c r="V1229" s="304"/>
      <c r="W1229" s="304"/>
      <c r="X1229" s="304"/>
      <c r="Y1229" s="304"/>
      <c r="Z1229" s="304"/>
      <c r="AA1229" s="304"/>
    </row>
    <row r="1230" spans="1:27" s="303" customFormat="1" ht="16">
      <c r="A1230" s="304" t="s">
        <v>719</v>
      </c>
      <c r="B1230" s="306"/>
      <c r="D1230" s="308">
        <v>12000</v>
      </c>
      <c r="E1230" s="304"/>
      <c r="F1230" s="304"/>
      <c r="G1230" s="304"/>
      <c r="H1230" s="304"/>
      <c r="I1230" s="304"/>
      <c r="J1230" s="304"/>
      <c r="K1230" s="304"/>
      <c r="L1230" s="304"/>
      <c r="M1230" s="304"/>
      <c r="N1230" s="304"/>
      <c r="O1230" s="304"/>
      <c r="P1230" s="304"/>
      <c r="Q1230" s="304"/>
      <c r="R1230" s="304"/>
      <c r="S1230" s="304"/>
      <c r="T1230" s="304"/>
      <c r="U1230" s="304"/>
      <c r="V1230" s="304"/>
      <c r="W1230" s="304"/>
      <c r="X1230" s="304"/>
      <c r="Y1230" s="304"/>
      <c r="Z1230" s="304"/>
      <c r="AA1230" s="304"/>
    </row>
    <row r="1231" spans="1:27" s="303" customFormat="1" ht="16">
      <c r="A1231" s="304" t="s">
        <v>720</v>
      </c>
      <c r="B1231" s="306"/>
      <c r="D1231" s="308">
        <v>9000</v>
      </c>
      <c r="E1231" s="304"/>
      <c r="F1231" s="304"/>
      <c r="G1231" s="304"/>
      <c r="H1231" s="304"/>
      <c r="I1231" s="304"/>
      <c r="J1231" s="304"/>
      <c r="K1231" s="304"/>
      <c r="L1231" s="304"/>
      <c r="M1231" s="304"/>
      <c r="N1231" s="304"/>
      <c r="O1231" s="304"/>
      <c r="P1231" s="304"/>
      <c r="Q1231" s="304"/>
      <c r="R1231" s="304"/>
      <c r="S1231" s="304"/>
      <c r="T1231" s="304"/>
      <c r="U1231" s="304"/>
      <c r="V1231" s="304"/>
      <c r="W1231" s="304"/>
      <c r="X1231" s="304"/>
      <c r="Y1231" s="304"/>
      <c r="Z1231" s="304"/>
      <c r="AA1231" s="304"/>
    </row>
    <row r="1232" spans="1:27" s="303" customFormat="1" ht="16">
      <c r="A1232" s="304" t="s">
        <v>721</v>
      </c>
      <c r="B1232" s="306"/>
      <c r="D1232" s="308">
        <v>15000</v>
      </c>
      <c r="E1232" s="304"/>
      <c r="F1232" s="304"/>
      <c r="G1232" s="304"/>
      <c r="H1232" s="304"/>
      <c r="I1232" s="304"/>
      <c r="J1232" s="304"/>
      <c r="K1232" s="304"/>
      <c r="L1232" s="304"/>
      <c r="M1232" s="304"/>
      <c r="N1232" s="304"/>
      <c r="O1232" s="304"/>
      <c r="P1232" s="304"/>
      <c r="Q1232" s="304"/>
      <c r="R1232" s="304"/>
      <c r="S1232" s="304"/>
      <c r="T1232" s="304"/>
      <c r="U1232" s="304"/>
      <c r="V1232" s="304"/>
      <c r="W1232" s="304"/>
      <c r="X1232" s="304"/>
      <c r="Y1232" s="304"/>
      <c r="Z1232" s="304"/>
      <c r="AA1232" s="304"/>
    </row>
    <row r="1233" spans="1:27" s="303" customFormat="1" ht="16">
      <c r="A1233" s="304" t="s">
        <v>722</v>
      </c>
      <c r="B1233" s="306"/>
      <c r="D1233" s="308">
        <v>23000</v>
      </c>
      <c r="E1233" s="304"/>
      <c r="F1233" s="304"/>
      <c r="G1233" s="304"/>
      <c r="H1233" s="304"/>
      <c r="I1233" s="304"/>
      <c r="J1233" s="304"/>
      <c r="K1233" s="304"/>
      <c r="L1233" s="304"/>
      <c r="M1233" s="304"/>
      <c r="N1233" s="304"/>
      <c r="O1233" s="304"/>
      <c r="P1233" s="304"/>
      <c r="Q1233" s="304"/>
      <c r="R1233" s="304"/>
      <c r="S1233" s="304"/>
      <c r="T1233" s="304"/>
      <c r="U1233" s="304"/>
      <c r="V1233" s="304"/>
      <c r="W1233" s="304"/>
      <c r="X1233" s="304"/>
      <c r="Y1233" s="304"/>
      <c r="Z1233" s="304"/>
      <c r="AA1233" s="304"/>
    </row>
    <row r="1234" spans="1:27" s="303" customFormat="1" ht="16">
      <c r="A1234" s="304" t="s">
        <v>723</v>
      </c>
      <c r="B1234" s="306"/>
      <c r="D1234" s="308">
        <v>24000</v>
      </c>
      <c r="E1234" s="304"/>
      <c r="F1234" s="304"/>
      <c r="G1234" s="304"/>
      <c r="H1234" s="304"/>
      <c r="I1234" s="304"/>
      <c r="J1234" s="304"/>
      <c r="K1234" s="304"/>
      <c r="L1234" s="304"/>
      <c r="M1234" s="304"/>
      <c r="N1234" s="304"/>
      <c r="O1234" s="304"/>
      <c r="P1234" s="304"/>
      <c r="Q1234" s="304"/>
      <c r="R1234" s="304"/>
      <c r="S1234" s="304"/>
      <c r="T1234" s="304"/>
      <c r="U1234" s="304"/>
      <c r="V1234" s="304"/>
      <c r="W1234" s="304"/>
      <c r="X1234" s="304"/>
      <c r="Y1234" s="304"/>
      <c r="Z1234" s="304"/>
      <c r="AA1234" s="304"/>
    </row>
    <row r="1235" spans="1:27" s="303" customFormat="1" ht="16">
      <c r="A1235" s="304" t="s">
        <v>724</v>
      </c>
      <c r="B1235" s="306"/>
      <c r="D1235" s="308">
        <v>52000</v>
      </c>
      <c r="E1235" s="304"/>
      <c r="F1235" s="304"/>
      <c r="G1235" s="304"/>
      <c r="H1235" s="304"/>
      <c r="I1235" s="304"/>
      <c r="J1235" s="304"/>
      <c r="K1235" s="304"/>
      <c r="L1235" s="304"/>
      <c r="M1235" s="304"/>
      <c r="N1235" s="304"/>
      <c r="O1235" s="304"/>
      <c r="P1235" s="304"/>
      <c r="Q1235" s="304"/>
      <c r="R1235" s="304"/>
      <c r="S1235" s="304"/>
      <c r="T1235" s="304"/>
      <c r="U1235" s="304"/>
      <c r="V1235" s="304"/>
      <c r="W1235" s="304"/>
      <c r="X1235" s="304"/>
      <c r="Y1235" s="304"/>
      <c r="Z1235" s="304"/>
      <c r="AA1235" s="304"/>
    </row>
    <row r="1236" spans="1:27" s="303" customFormat="1" ht="16">
      <c r="A1236" s="304" t="s">
        <v>725</v>
      </c>
      <c r="B1236" s="306"/>
      <c r="D1236" s="309" t="s">
        <v>726</v>
      </c>
      <c r="E1236" s="304"/>
      <c r="F1236" s="304"/>
      <c r="G1236" s="304"/>
      <c r="H1236" s="304"/>
      <c r="I1236" s="304"/>
      <c r="J1236" s="304"/>
      <c r="K1236" s="304"/>
      <c r="L1236" s="304"/>
      <c r="M1236" s="304"/>
      <c r="N1236" s="304"/>
      <c r="O1236" s="304"/>
      <c r="P1236" s="304"/>
      <c r="Q1236" s="304"/>
      <c r="R1236" s="304"/>
      <c r="S1236" s="304"/>
      <c r="T1236" s="304"/>
      <c r="U1236" s="304"/>
      <c r="V1236" s="304"/>
      <c r="W1236" s="304"/>
      <c r="X1236" s="304"/>
      <c r="Y1236" s="304"/>
      <c r="Z1236" s="304"/>
      <c r="AA1236" s="304"/>
    </row>
    <row r="1237" spans="1:27" s="303" customFormat="1" ht="16">
      <c r="A1237" s="304" t="s">
        <v>727</v>
      </c>
      <c r="B1237" s="306"/>
      <c r="D1237" s="308">
        <v>66000</v>
      </c>
      <c r="E1237" s="304"/>
      <c r="F1237" s="304"/>
      <c r="G1237" s="304"/>
      <c r="H1237" s="304"/>
      <c r="I1237" s="304"/>
      <c r="J1237" s="304"/>
      <c r="K1237" s="304"/>
      <c r="L1237" s="304"/>
      <c r="M1237" s="304"/>
      <c r="N1237" s="304"/>
      <c r="O1237" s="304"/>
      <c r="P1237" s="304"/>
      <c r="Q1237" s="304"/>
      <c r="R1237" s="304"/>
      <c r="S1237" s="304"/>
      <c r="T1237" s="304"/>
      <c r="U1237" s="304"/>
      <c r="V1237" s="304"/>
      <c r="W1237" s="304"/>
      <c r="X1237" s="304"/>
      <c r="Y1237" s="304"/>
      <c r="Z1237" s="304"/>
      <c r="AA1237" s="304"/>
    </row>
    <row r="1238" spans="1:27" s="303" customFormat="1" ht="16">
      <c r="A1238" s="304" t="s">
        <v>728</v>
      </c>
      <c r="B1238" s="306"/>
      <c r="D1238" s="308">
        <v>7000</v>
      </c>
      <c r="E1238" s="304"/>
      <c r="F1238" s="304"/>
      <c r="G1238" s="304"/>
      <c r="H1238" s="304"/>
      <c r="I1238" s="304"/>
      <c r="J1238" s="304"/>
      <c r="K1238" s="304"/>
      <c r="L1238" s="304"/>
      <c r="M1238" s="304"/>
      <c r="N1238" s="304"/>
      <c r="O1238" s="304"/>
      <c r="P1238" s="304"/>
      <c r="Q1238" s="304"/>
      <c r="R1238" s="304"/>
      <c r="S1238" s="304"/>
      <c r="T1238" s="304"/>
      <c r="U1238" s="304"/>
      <c r="V1238" s="304"/>
      <c r="W1238" s="304"/>
      <c r="X1238" s="304"/>
      <c r="Y1238" s="304"/>
      <c r="Z1238" s="304"/>
      <c r="AA1238" s="304"/>
    </row>
    <row r="1239" spans="1:27" s="303" customFormat="1" ht="16">
      <c r="A1239" s="304" t="s">
        <v>729</v>
      </c>
      <c r="B1239" s="306"/>
      <c r="D1239" s="308">
        <v>4000</v>
      </c>
      <c r="E1239" s="304"/>
      <c r="F1239" s="304"/>
      <c r="G1239" s="304"/>
      <c r="H1239" s="304"/>
      <c r="I1239" s="304"/>
      <c r="J1239" s="304"/>
      <c r="K1239" s="304"/>
      <c r="L1239" s="304"/>
      <c r="M1239" s="304"/>
      <c r="N1239" s="304"/>
      <c r="O1239" s="304"/>
      <c r="P1239" s="304"/>
      <c r="Q1239" s="304"/>
      <c r="R1239" s="304"/>
      <c r="S1239" s="304"/>
      <c r="T1239" s="304"/>
      <c r="U1239" s="304"/>
      <c r="V1239" s="304"/>
      <c r="W1239" s="304"/>
      <c r="X1239" s="304"/>
      <c r="Y1239" s="304"/>
      <c r="Z1239" s="304"/>
      <c r="AA1239" s="304"/>
    </row>
    <row r="1240" spans="1:27" s="303" customFormat="1" ht="16">
      <c r="A1240" s="304" t="s">
        <v>730</v>
      </c>
      <c r="B1240" s="306"/>
      <c r="D1240" s="308">
        <v>40000</v>
      </c>
      <c r="E1240" s="304"/>
      <c r="F1240" s="304"/>
      <c r="G1240" s="304"/>
      <c r="H1240" s="304"/>
      <c r="I1240" s="304"/>
      <c r="J1240" s="304"/>
      <c r="K1240" s="304"/>
      <c r="L1240" s="304"/>
      <c r="M1240" s="304"/>
      <c r="N1240" s="304"/>
      <c r="O1240" s="304"/>
      <c r="P1240" s="304"/>
      <c r="Q1240" s="304"/>
      <c r="R1240" s="304"/>
      <c r="S1240" s="304"/>
      <c r="T1240" s="304"/>
      <c r="U1240" s="304"/>
      <c r="V1240" s="304"/>
      <c r="W1240" s="304"/>
      <c r="X1240" s="304"/>
      <c r="Y1240" s="304"/>
      <c r="Z1240" s="304"/>
      <c r="AA1240" s="304"/>
    </row>
    <row r="1241" spans="1:27" s="303" customFormat="1" ht="16">
      <c r="A1241" s="304" t="s">
        <v>549</v>
      </c>
      <c r="B1241" s="306"/>
      <c r="D1241" s="308">
        <v>16000</v>
      </c>
      <c r="E1241" s="304"/>
      <c r="F1241" s="304"/>
      <c r="G1241" s="304"/>
      <c r="H1241" s="304"/>
      <c r="I1241" s="304"/>
      <c r="J1241" s="304"/>
      <c r="K1241" s="304"/>
      <c r="L1241" s="304"/>
      <c r="M1241" s="304"/>
      <c r="N1241" s="304"/>
      <c r="O1241" s="304"/>
      <c r="P1241" s="304"/>
      <c r="Q1241" s="304"/>
      <c r="R1241" s="304"/>
      <c r="S1241" s="304"/>
      <c r="T1241" s="304"/>
      <c r="U1241" s="304"/>
      <c r="V1241" s="304"/>
      <c r="W1241" s="304"/>
      <c r="X1241" s="304"/>
      <c r="Y1241" s="304"/>
      <c r="Z1241" s="304"/>
      <c r="AA1241" s="304"/>
    </row>
    <row r="1242" spans="1:27" s="303" customFormat="1" ht="16">
      <c r="A1242" s="304" t="s">
        <v>731</v>
      </c>
      <c r="B1242" s="306"/>
      <c r="D1242" s="308">
        <v>17000</v>
      </c>
      <c r="E1242" s="304"/>
      <c r="F1242" s="304"/>
      <c r="G1242" s="304"/>
      <c r="H1242" s="304"/>
      <c r="I1242" s="304"/>
      <c r="J1242" s="304"/>
      <c r="K1242" s="304"/>
      <c r="L1242" s="304"/>
      <c r="M1242" s="304"/>
      <c r="N1242" s="304"/>
      <c r="O1242" s="304"/>
      <c r="P1242" s="304"/>
      <c r="Q1242" s="304"/>
      <c r="R1242" s="304"/>
      <c r="S1242" s="304"/>
      <c r="T1242" s="304"/>
      <c r="U1242" s="304"/>
      <c r="V1242" s="304"/>
      <c r="W1242" s="304"/>
      <c r="X1242" s="304"/>
      <c r="Y1242" s="304"/>
      <c r="Z1242" s="304"/>
      <c r="AA1242" s="304"/>
    </row>
    <row r="1243" spans="1:27" s="303" customFormat="1" ht="16">
      <c r="A1243" s="304" t="s">
        <v>732</v>
      </c>
      <c r="B1243" s="306"/>
      <c r="D1243" s="308">
        <v>61000</v>
      </c>
      <c r="E1243" s="304"/>
      <c r="F1243" s="304"/>
      <c r="G1243" s="304"/>
      <c r="H1243" s="304"/>
      <c r="I1243" s="304"/>
      <c r="J1243" s="304"/>
      <c r="K1243" s="304"/>
      <c r="L1243" s="304"/>
      <c r="M1243" s="304"/>
      <c r="N1243" s="304"/>
      <c r="O1243" s="304"/>
      <c r="P1243" s="304"/>
      <c r="Q1243" s="304"/>
      <c r="R1243" s="304"/>
      <c r="S1243" s="304"/>
      <c r="T1243" s="304"/>
      <c r="U1243" s="304"/>
      <c r="V1243" s="304"/>
      <c r="W1243" s="304"/>
      <c r="X1243" s="304"/>
      <c r="Y1243" s="304"/>
      <c r="Z1243" s="304"/>
      <c r="AA1243" s="304"/>
    </row>
    <row r="1244" spans="1:27" s="303" customFormat="1" ht="16">
      <c r="A1244" s="304" t="s">
        <v>733</v>
      </c>
      <c r="B1244" s="306"/>
      <c r="D1244" s="308">
        <v>22000</v>
      </c>
      <c r="E1244" s="304"/>
      <c r="F1244" s="304"/>
      <c r="G1244" s="304"/>
      <c r="H1244" s="304"/>
      <c r="I1244" s="304"/>
      <c r="J1244" s="304"/>
      <c r="K1244" s="304"/>
      <c r="L1244" s="304"/>
      <c r="M1244" s="304"/>
      <c r="N1244" s="304"/>
      <c r="O1244" s="304"/>
      <c r="P1244" s="304"/>
      <c r="Q1244" s="304"/>
      <c r="R1244" s="304"/>
      <c r="S1244" s="304"/>
      <c r="T1244" s="304"/>
      <c r="U1244" s="304"/>
      <c r="V1244" s="304"/>
      <c r="W1244" s="304"/>
      <c r="X1244" s="304"/>
      <c r="Y1244" s="304"/>
      <c r="Z1244" s="304"/>
      <c r="AA1244" s="304"/>
    </row>
    <row r="1245" spans="1:27" s="303" customFormat="1" ht="16">
      <c r="A1245" s="304" t="s">
        <v>734</v>
      </c>
      <c r="B1245" s="306"/>
      <c r="D1245" s="308">
        <v>33000</v>
      </c>
      <c r="E1245" s="304"/>
      <c r="F1245" s="304"/>
      <c r="G1245" s="304"/>
      <c r="H1245" s="304"/>
      <c r="I1245" s="304"/>
      <c r="J1245" s="304"/>
      <c r="K1245" s="304"/>
      <c r="L1245" s="304"/>
      <c r="M1245" s="304"/>
      <c r="N1245" s="304"/>
      <c r="O1245" s="304"/>
      <c r="P1245" s="304"/>
      <c r="Q1245" s="304"/>
      <c r="R1245" s="304"/>
      <c r="S1245" s="304"/>
      <c r="T1245" s="304"/>
      <c r="U1245" s="304"/>
      <c r="V1245" s="304"/>
      <c r="W1245" s="304"/>
      <c r="X1245" s="304"/>
      <c r="Y1245" s="304"/>
      <c r="Z1245" s="304"/>
      <c r="AA1245" s="304"/>
    </row>
    <row r="1246" spans="1:27" s="303" customFormat="1" ht="16">
      <c r="A1246" s="304" t="s">
        <v>735</v>
      </c>
      <c r="B1246" s="306"/>
      <c r="D1246" s="308">
        <v>11000</v>
      </c>
      <c r="E1246" s="304"/>
      <c r="F1246" s="304"/>
      <c r="G1246" s="304"/>
      <c r="H1246" s="304"/>
      <c r="I1246" s="304"/>
      <c r="J1246" s="304"/>
      <c r="K1246" s="304"/>
      <c r="L1246" s="304"/>
      <c r="M1246" s="304"/>
      <c r="N1246" s="304"/>
      <c r="O1246" s="304"/>
      <c r="P1246" s="304"/>
      <c r="Q1246" s="304"/>
      <c r="R1246" s="304"/>
      <c r="S1246" s="304"/>
      <c r="T1246" s="304"/>
      <c r="U1246" s="304"/>
      <c r="V1246" s="304"/>
      <c r="W1246" s="304"/>
      <c r="X1246" s="304"/>
      <c r="Y1246" s="304"/>
      <c r="Z1246" s="304"/>
      <c r="AA1246" s="304"/>
    </row>
    <row r="1247" spans="1:27" s="303" customFormat="1" ht="16">
      <c r="A1247" s="304" t="s">
        <v>736</v>
      </c>
      <c r="B1247" s="306"/>
      <c r="D1247" s="308">
        <v>18000</v>
      </c>
      <c r="E1247" s="304"/>
      <c r="F1247" s="304"/>
      <c r="G1247" s="304"/>
      <c r="H1247" s="304"/>
      <c r="I1247" s="304"/>
      <c r="J1247" s="304"/>
      <c r="K1247" s="304"/>
      <c r="L1247" s="304"/>
      <c r="M1247" s="304"/>
      <c r="N1247" s="304"/>
      <c r="O1247" s="304"/>
      <c r="P1247" s="304"/>
      <c r="Q1247" s="304"/>
      <c r="R1247" s="304"/>
      <c r="S1247" s="304"/>
      <c r="T1247" s="304"/>
      <c r="U1247" s="304"/>
      <c r="V1247" s="304"/>
      <c r="W1247" s="304"/>
      <c r="X1247" s="304"/>
      <c r="Y1247" s="304"/>
      <c r="Z1247" s="304"/>
      <c r="AA1247" s="304"/>
    </row>
    <row r="1248" spans="1:27" s="303" customFormat="1" ht="16">
      <c r="A1248" s="304" t="s">
        <v>556</v>
      </c>
      <c r="B1248" s="306"/>
      <c r="D1248" s="308">
        <v>12000</v>
      </c>
      <c r="E1248" s="304"/>
      <c r="F1248" s="304"/>
      <c r="G1248" s="304"/>
      <c r="H1248" s="304"/>
      <c r="I1248" s="304"/>
      <c r="J1248" s="304"/>
      <c r="K1248" s="304"/>
      <c r="L1248" s="304"/>
      <c r="M1248" s="304"/>
      <c r="N1248" s="304"/>
      <c r="O1248" s="304"/>
      <c r="P1248" s="304"/>
      <c r="Q1248" s="304"/>
      <c r="R1248" s="304"/>
      <c r="S1248" s="304"/>
      <c r="T1248" s="304"/>
      <c r="U1248" s="304"/>
      <c r="V1248" s="304"/>
      <c r="W1248" s="304"/>
      <c r="X1248" s="304"/>
      <c r="Y1248" s="304"/>
      <c r="Z1248" s="304"/>
      <c r="AA1248" s="304"/>
    </row>
    <row r="1249" spans="1:27" s="303" customFormat="1" ht="16">
      <c r="A1249" s="304"/>
      <c r="B1249" s="304"/>
      <c r="C1249" s="304"/>
      <c r="D1249" s="304"/>
      <c r="E1249" s="304"/>
      <c r="F1249" s="304"/>
      <c r="G1249" s="304"/>
      <c r="H1249" s="304"/>
      <c r="I1249" s="304"/>
      <c r="J1249" s="304"/>
      <c r="K1249" s="304"/>
      <c r="L1249" s="304"/>
      <c r="M1249" s="304"/>
      <c r="N1249" s="304"/>
      <c r="O1249" s="304"/>
      <c r="P1249" s="304"/>
      <c r="Q1249" s="304"/>
      <c r="R1249" s="304"/>
      <c r="S1249" s="304"/>
      <c r="T1249" s="304"/>
      <c r="U1249" s="304"/>
      <c r="V1249" s="304"/>
      <c r="W1249" s="304"/>
      <c r="X1249" s="304"/>
      <c r="Y1249" s="304"/>
      <c r="Z1249" s="304"/>
      <c r="AA1249" s="304"/>
    </row>
    <row r="1250" spans="1:27" s="303" customFormat="1" ht="16">
      <c r="A1250" s="305" t="s">
        <v>737</v>
      </c>
      <c r="B1250" s="304"/>
      <c r="C1250" s="304"/>
      <c r="D1250" s="304"/>
      <c r="E1250" s="304"/>
      <c r="F1250" s="304"/>
      <c r="G1250" s="304"/>
      <c r="H1250" s="304"/>
      <c r="I1250" s="304"/>
      <c r="J1250" s="304"/>
      <c r="K1250" s="304"/>
      <c r="L1250" s="304"/>
      <c r="M1250" s="304"/>
      <c r="N1250" s="304"/>
      <c r="O1250" s="304"/>
      <c r="P1250" s="304"/>
      <c r="Q1250" s="304"/>
      <c r="R1250" s="304"/>
      <c r="S1250" s="304"/>
      <c r="T1250" s="304"/>
      <c r="U1250" s="304"/>
      <c r="V1250" s="304"/>
      <c r="W1250" s="304"/>
      <c r="X1250" s="304"/>
      <c r="Y1250" s="304"/>
      <c r="Z1250" s="304"/>
      <c r="AA1250" s="304"/>
    </row>
    <row r="1251" spans="1:27" s="303" customFormat="1" ht="16">
      <c r="A1251" s="305"/>
      <c r="B1251" s="304"/>
      <c r="C1251" s="304"/>
      <c r="D1251" s="304"/>
      <c r="E1251" s="304"/>
      <c r="F1251" s="304"/>
      <c r="G1251" s="304"/>
      <c r="H1251" s="304"/>
      <c r="I1251" s="304"/>
      <c r="J1251" s="304"/>
      <c r="K1251" s="304"/>
      <c r="L1251" s="304"/>
      <c r="M1251" s="304"/>
      <c r="N1251" s="304"/>
      <c r="O1251" s="304"/>
      <c r="P1251" s="304"/>
      <c r="Q1251" s="304"/>
      <c r="R1251" s="304"/>
      <c r="S1251" s="304"/>
      <c r="T1251" s="304"/>
      <c r="U1251" s="304"/>
      <c r="V1251" s="304"/>
      <c r="W1251" s="304"/>
      <c r="X1251" s="304"/>
      <c r="Y1251" s="304"/>
      <c r="Z1251" s="304"/>
      <c r="AA1251" s="304"/>
    </row>
    <row r="1252" spans="1:27" s="303" customFormat="1" ht="16">
      <c r="A1252" s="304"/>
      <c r="B1252" s="304"/>
      <c r="C1252" s="304"/>
      <c r="D1252" s="304"/>
      <c r="E1252" s="681" t="s">
        <v>738</v>
      </c>
      <c r="F1252" s="676"/>
      <c r="G1252" s="310" t="s">
        <v>561</v>
      </c>
      <c r="H1252" s="310"/>
      <c r="I1252" s="310"/>
      <c r="J1252" s="304"/>
      <c r="K1252" s="304"/>
      <c r="L1252" s="304"/>
      <c r="M1252" s="304"/>
      <c r="N1252" s="304"/>
      <c r="O1252" s="304"/>
      <c r="P1252" s="304"/>
      <c r="Q1252" s="304"/>
      <c r="R1252" s="304"/>
      <c r="S1252" s="304"/>
      <c r="T1252" s="304"/>
      <c r="U1252" s="304"/>
      <c r="V1252" s="304"/>
      <c r="W1252" s="304"/>
      <c r="X1252" s="304"/>
      <c r="Y1252" s="304"/>
      <c r="Z1252" s="304"/>
      <c r="AA1252" s="304"/>
    </row>
    <row r="1253" spans="1:27" s="303" customFormat="1" ht="29">
      <c r="A1253" s="311" t="s">
        <v>564</v>
      </c>
      <c r="B1253" s="312"/>
      <c r="C1253" s="312"/>
      <c r="D1253" s="311" t="s">
        <v>565</v>
      </c>
      <c r="E1253" s="313" t="s">
        <v>739</v>
      </c>
      <c r="F1253" s="314" t="s">
        <v>740</v>
      </c>
      <c r="G1253" s="314" t="s">
        <v>741</v>
      </c>
      <c r="H1253" s="314" t="s">
        <v>742</v>
      </c>
      <c r="I1253" s="313" t="s">
        <v>78</v>
      </c>
      <c r="J1253" s="315"/>
      <c r="K1253" s="315"/>
      <c r="L1253" s="315"/>
      <c r="M1253" s="315"/>
      <c r="N1253" s="315"/>
      <c r="O1253" s="315"/>
      <c r="P1253" s="315"/>
      <c r="Q1253" s="315"/>
      <c r="R1253" s="315"/>
      <c r="S1253" s="315"/>
      <c r="T1253" s="315"/>
      <c r="U1253" s="315"/>
      <c r="V1253" s="315"/>
      <c r="W1253" s="315"/>
      <c r="X1253" s="315"/>
      <c r="Y1253" s="315"/>
      <c r="Z1253" s="315"/>
      <c r="AA1253" s="315"/>
    </row>
    <row r="1254" spans="1:27" s="322" customFormat="1" ht="16">
      <c r="A1254" s="316" t="s">
        <v>705</v>
      </c>
      <c r="B1254" s="317"/>
      <c r="C1254" s="317"/>
      <c r="D1254" s="318">
        <v>500000</v>
      </c>
      <c r="E1254" s="319">
        <f>D1254</f>
        <v>500000</v>
      </c>
      <c r="F1254" s="321"/>
      <c r="G1254" s="321"/>
      <c r="H1254" s="321"/>
      <c r="I1254" s="321"/>
      <c r="J1254" s="321"/>
      <c r="K1254" s="321"/>
      <c r="L1254" s="321"/>
      <c r="M1254" s="321"/>
      <c r="N1254" s="321"/>
      <c r="O1254" s="321"/>
      <c r="P1254" s="321"/>
      <c r="Q1254" s="321"/>
      <c r="R1254" s="321"/>
      <c r="S1254" s="321"/>
      <c r="T1254" s="321"/>
      <c r="U1254" s="321"/>
      <c r="V1254" s="321"/>
      <c r="W1254" s="321"/>
      <c r="X1254" s="321"/>
      <c r="Y1254" s="321"/>
      <c r="Z1254" s="321"/>
      <c r="AA1254" s="321"/>
    </row>
    <row r="1255" spans="1:27" s="322" customFormat="1" ht="16">
      <c r="A1255" s="316" t="s">
        <v>743</v>
      </c>
      <c r="B1255" s="317"/>
      <c r="C1255" s="317"/>
      <c r="D1255" s="318">
        <v>30000</v>
      </c>
      <c r="E1255" s="319">
        <f>-D1255</f>
        <v>-30000</v>
      </c>
      <c r="F1255" s="321"/>
      <c r="G1255" s="321"/>
      <c r="H1255" s="321"/>
      <c r="I1255" s="321"/>
      <c r="J1255" s="321"/>
      <c r="K1255" s="321"/>
      <c r="L1255" s="321"/>
      <c r="M1255" s="321"/>
      <c r="N1255" s="321"/>
      <c r="O1255" s="321"/>
      <c r="P1255" s="321"/>
      <c r="Q1255" s="321"/>
      <c r="R1255" s="321"/>
      <c r="S1255" s="321"/>
      <c r="T1255" s="321"/>
      <c r="U1255" s="321"/>
      <c r="V1255" s="321"/>
      <c r="W1255" s="321"/>
      <c r="X1255" s="321"/>
      <c r="Y1255" s="321"/>
      <c r="Z1255" s="321"/>
      <c r="AA1255" s="321"/>
    </row>
    <row r="1256" spans="1:27" s="322" customFormat="1" ht="16">
      <c r="A1256" s="316" t="s">
        <v>66</v>
      </c>
      <c r="B1256" s="317"/>
      <c r="C1256" s="317"/>
      <c r="D1256" s="318">
        <v>120000</v>
      </c>
      <c r="E1256" s="319">
        <f t="shared" ref="E1256:E1257" si="26">D1256</f>
        <v>120000</v>
      </c>
      <c r="F1256" s="321"/>
      <c r="G1256" s="321"/>
      <c r="H1256" s="321"/>
      <c r="I1256" s="321"/>
      <c r="J1256" s="321"/>
      <c r="K1256" s="321"/>
      <c r="L1256" s="321"/>
      <c r="M1256" s="321"/>
      <c r="N1256" s="321"/>
      <c r="O1256" s="321"/>
      <c r="P1256" s="321"/>
      <c r="Q1256" s="321"/>
      <c r="R1256" s="321"/>
      <c r="S1256" s="321"/>
      <c r="T1256" s="321"/>
      <c r="U1256" s="321"/>
      <c r="V1256" s="321"/>
      <c r="W1256" s="321"/>
      <c r="X1256" s="321"/>
      <c r="Y1256" s="321"/>
      <c r="Z1256" s="321"/>
      <c r="AA1256" s="321"/>
    </row>
    <row r="1257" spans="1:27" s="322" customFormat="1" ht="16">
      <c r="A1257" s="316" t="s">
        <v>707</v>
      </c>
      <c r="B1257" s="317"/>
      <c r="C1257" s="317"/>
      <c r="D1257" s="318">
        <v>300000</v>
      </c>
      <c r="E1257" s="319">
        <f t="shared" si="26"/>
        <v>300000</v>
      </c>
      <c r="F1257" s="321"/>
      <c r="G1257" s="321"/>
      <c r="H1257" s="321"/>
      <c r="I1257" s="321"/>
      <c r="J1257" s="321"/>
      <c r="K1257" s="321"/>
      <c r="L1257" s="321"/>
      <c r="M1257" s="321"/>
      <c r="N1257" s="321"/>
      <c r="O1257" s="321"/>
      <c r="P1257" s="321"/>
      <c r="Q1257" s="321"/>
      <c r="R1257" s="321"/>
      <c r="S1257" s="321"/>
      <c r="T1257" s="321"/>
      <c r="U1257" s="321"/>
      <c r="V1257" s="321"/>
      <c r="W1257" s="321"/>
      <c r="X1257" s="321"/>
      <c r="Y1257" s="321"/>
      <c r="Z1257" s="321"/>
      <c r="AA1257" s="321"/>
    </row>
    <row r="1258" spans="1:27" s="322" customFormat="1" ht="16">
      <c r="A1258" s="323" t="s">
        <v>744</v>
      </c>
      <c r="D1258" s="324">
        <v>160000</v>
      </c>
      <c r="E1258" s="321"/>
      <c r="F1258" s="325">
        <f>D1258</f>
        <v>160000</v>
      </c>
      <c r="G1258" s="321"/>
      <c r="H1258" s="321"/>
      <c r="I1258" s="321"/>
      <c r="J1258" s="321"/>
      <c r="K1258" s="321"/>
      <c r="L1258" s="321"/>
      <c r="M1258" s="321"/>
      <c r="N1258" s="321"/>
      <c r="O1258" s="321"/>
      <c r="P1258" s="321"/>
      <c r="Q1258" s="321"/>
      <c r="R1258" s="321"/>
      <c r="S1258" s="321"/>
      <c r="T1258" s="321"/>
      <c r="U1258" s="321"/>
      <c r="V1258" s="321"/>
      <c r="W1258" s="321"/>
      <c r="X1258" s="321"/>
      <c r="Y1258" s="321"/>
      <c r="Z1258" s="321"/>
      <c r="AA1258" s="321"/>
    </row>
    <row r="1259" spans="1:27" s="322" customFormat="1" ht="16">
      <c r="A1259" s="316" t="s">
        <v>745</v>
      </c>
      <c r="B1259" s="317"/>
      <c r="C1259" s="317"/>
      <c r="D1259" s="318">
        <v>12000</v>
      </c>
      <c r="E1259" s="319">
        <f t="shared" ref="E1259:E1261" si="27">D1259</f>
        <v>12000</v>
      </c>
      <c r="F1259" s="321"/>
      <c r="G1259" s="321"/>
      <c r="H1259" s="321"/>
      <c r="I1259" s="321"/>
      <c r="J1259" s="321"/>
      <c r="K1259" s="321"/>
      <c r="L1259" s="321"/>
      <c r="M1259" s="321"/>
      <c r="N1259" s="321"/>
      <c r="O1259" s="321"/>
      <c r="P1259" s="321"/>
      <c r="Q1259" s="321"/>
      <c r="R1259" s="321"/>
      <c r="S1259" s="321"/>
      <c r="T1259" s="321"/>
      <c r="U1259" s="321"/>
      <c r="V1259" s="321"/>
      <c r="W1259" s="321"/>
      <c r="X1259" s="321"/>
      <c r="Y1259" s="321"/>
      <c r="Z1259" s="321"/>
      <c r="AA1259" s="321"/>
    </row>
    <row r="1260" spans="1:27" s="322" customFormat="1" ht="16">
      <c r="A1260" s="316" t="s">
        <v>962</v>
      </c>
      <c r="B1260" s="317"/>
      <c r="C1260" s="317"/>
      <c r="D1260" s="318">
        <v>35000</v>
      </c>
      <c r="E1260" s="319">
        <f t="shared" si="27"/>
        <v>35000</v>
      </c>
      <c r="F1260" s="321"/>
      <c r="G1260" s="321"/>
      <c r="H1260" s="321"/>
      <c r="I1260" s="321"/>
      <c r="J1260" s="321"/>
      <c r="K1260" s="321"/>
      <c r="L1260" s="321"/>
      <c r="M1260" s="321"/>
      <c r="N1260" s="321"/>
      <c r="O1260" s="321"/>
      <c r="P1260" s="321"/>
      <c r="Q1260" s="321"/>
      <c r="R1260" s="321"/>
      <c r="S1260" s="321"/>
      <c r="T1260" s="321"/>
      <c r="U1260" s="321"/>
      <c r="V1260" s="321"/>
      <c r="W1260" s="321"/>
      <c r="X1260" s="321"/>
      <c r="Y1260" s="321"/>
      <c r="Z1260" s="321"/>
      <c r="AA1260" s="321"/>
    </row>
    <row r="1261" spans="1:27" s="322" customFormat="1" ht="16">
      <c r="A1261" s="316" t="s">
        <v>710</v>
      </c>
      <c r="B1261" s="317"/>
      <c r="C1261" s="317"/>
      <c r="D1261" s="318">
        <v>44000</v>
      </c>
      <c r="E1261" s="319">
        <f t="shared" si="27"/>
        <v>44000</v>
      </c>
      <c r="F1261" s="321"/>
      <c r="G1261" s="321"/>
      <c r="H1261" s="321"/>
      <c r="I1261" s="321"/>
      <c r="J1261" s="321"/>
      <c r="K1261" s="321"/>
      <c r="L1261" s="321"/>
      <c r="M1261" s="321"/>
      <c r="N1261" s="321"/>
      <c r="O1261" s="321"/>
      <c r="P1261" s="321"/>
      <c r="Q1261" s="321"/>
      <c r="R1261" s="321"/>
      <c r="S1261" s="321"/>
      <c r="T1261" s="321"/>
      <c r="U1261" s="321"/>
      <c r="V1261" s="321"/>
      <c r="W1261" s="321"/>
      <c r="X1261" s="321"/>
      <c r="Y1261" s="321"/>
      <c r="Z1261" s="321"/>
      <c r="AA1261" s="321"/>
    </row>
    <row r="1262" spans="1:27" s="322" customFormat="1" ht="16">
      <c r="A1262" s="323" t="s">
        <v>711</v>
      </c>
      <c r="D1262" s="324">
        <v>320000</v>
      </c>
      <c r="E1262" s="321"/>
      <c r="F1262" s="325">
        <f>D1262</f>
        <v>320000</v>
      </c>
      <c r="G1262" s="321"/>
      <c r="H1262" s="321"/>
      <c r="I1262" s="321"/>
      <c r="J1262" s="321"/>
      <c r="K1262" s="321"/>
      <c r="L1262" s="321"/>
      <c r="M1262" s="321"/>
      <c r="N1262" s="321"/>
      <c r="O1262" s="321"/>
      <c r="P1262" s="321"/>
      <c r="Q1262" s="321"/>
      <c r="R1262" s="321"/>
      <c r="S1262" s="321"/>
      <c r="T1262" s="321"/>
      <c r="U1262" s="321"/>
      <c r="V1262" s="321"/>
      <c r="W1262" s="321"/>
      <c r="X1262" s="321"/>
      <c r="Y1262" s="321"/>
      <c r="Z1262" s="321"/>
      <c r="AA1262" s="321"/>
    </row>
    <row r="1263" spans="1:27" s="322" customFormat="1" ht="16">
      <c r="A1263" s="323" t="s">
        <v>712</v>
      </c>
      <c r="D1263" s="324">
        <v>20000</v>
      </c>
      <c r="E1263" s="321"/>
      <c r="F1263" s="325">
        <f>-D1263</f>
        <v>-20000</v>
      </c>
      <c r="G1263" s="321"/>
      <c r="H1263" s="321"/>
      <c r="I1263" s="321"/>
      <c r="J1263" s="321"/>
      <c r="K1263" s="321"/>
      <c r="L1263" s="321"/>
      <c r="M1263" s="321"/>
      <c r="N1263" s="321"/>
      <c r="O1263" s="321"/>
      <c r="P1263" s="321"/>
      <c r="Q1263" s="321"/>
      <c r="R1263" s="321"/>
      <c r="S1263" s="321"/>
      <c r="T1263" s="321"/>
      <c r="U1263" s="321"/>
      <c r="V1263" s="321"/>
      <c r="W1263" s="321"/>
      <c r="X1263" s="321"/>
      <c r="Y1263" s="321"/>
      <c r="Z1263" s="321"/>
      <c r="AA1263" s="321"/>
    </row>
    <row r="1264" spans="1:27" s="322" customFormat="1" ht="16">
      <c r="A1264" s="323" t="s">
        <v>963</v>
      </c>
      <c r="D1264" s="326">
        <v>840000</v>
      </c>
      <c r="E1264" s="321"/>
      <c r="F1264" s="327">
        <f t="shared" ref="F1264:F1267" si="28">D1264</f>
        <v>840000</v>
      </c>
      <c r="G1264" s="321"/>
      <c r="H1264" s="321"/>
      <c r="I1264" s="321"/>
      <c r="J1264" s="321"/>
      <c r="K1264" s="321"/>
      <c r="L1264" s="321"/>
      <c r="M1264" s="321"/>
      <c r="N1264" s="321"/>
      <c r="O1264" s="321"/>
      <c r="P1264" s="321"/>
      <c r="Q1264" s="321"/>
      <c r="R1264" s="321"/>
      <c r="S1264" s="321"/>
      <c r="T1264" s="321"/>
      <c r="U1264" s="321"/>
      <c r="V1264" s="321"/>
      <c r="W1264" s="321"/>
      <c r="X1264" s="321"/>
      <c r="Y1264" s="321"/>
      <c r="Z1264" s="321"/>
      <c r="AA1264" s="321"/>
    </row>
    <row r="1265" spans="1:27" s="322" customFormat="1" ht="16">
      <c r="A1265" s="323" t="s">
        <v>713</v>
      </c>
      <c r="D1265" s="326">
        <v>34000</v>
      </c>
      <c r="E1265" s="321"/>
      <c r="F1265" s="327">
        <f t="shared" si="28"/>
        <v>34000</v>
      </c>
      <c r="G1265" s="321"/>
      <c r="H1265" s="321"/>
      <c r="I1265" s="321"/>
      <c r="J1265" s="321"/>
      <c r="K1265" s="321"/>
      <c r="L1265" s="321"/>
      <c r="M1265" s="321"/>
      <c r="N1265" s="321"/>
      <c r="O1265" s="321"/>
      <c r="P1265" s="321"/>
      <c r="Q1265" s="321"/>
      <c r="R1265" s="321"/>
      <c r="S1265" s="321"/>
      <c r="T1265" s="321"/>
      <c r="U1265" s="321"/>
      <c r="V1265" s="321"/>
      <c r="W1265" s="321"/>
      <c r="X1265" s="321"/>
      <c r="Y1265" s="321"/>
      <c r="Z1265" s="321"/>
      <c r="AA1265" s="321"/>
    </row>
    <row r="1266" spans="1:27" s="322" customFormat="1" ht="16">
      <c r="A1266" s="323" t="s">
        <v>714</v>
      </c>
      <c r="D1266" s="326">
        <v>22000</v>
      </c>
      <c r="E1266" s="321"/>
      <c r="F1266" s="327">
        <f t="shared" si="28"/>
        <v>22000</v>
      </c>
      <c r="G1266" s="321"/>
      <c r="H1266" s="321"/>
      <c r="I1266" s="321"/>
      <c r="J1266" s="321"/>
      <c r="K1266" s="321"/>
      <c r="L1266" s="321"/>
      <c r="M1266" s="321"/>
      <c r="N1266" s="321"/>
      <c r="O1266" s="321"/>
      <c r="P1266" s="321"/>
      <c r="Q1266" s="321"/>
      <c r="R1266" s="321"/>
      <c r="S1266" s="321"/>
      <c r="T1266" s="321"/>
      <c r="U1266" s="321"/>
      <c r="V1266" s="321"/>
      <c r="W1266" s="321"/>
      <c r="X1266" s="321"/>
      <c r="Y1266" s="321"/>
      <c r="Z1266" s="321"/>
      <c r="AA1266" s="321"/>
    </row>
    <row r="1267" spans="1:27" s="322" customFormat="1" ht="16">
      <c r="A1267" s="323" t="s">
        <v>81</v>
      </c>
      <c r="D1267" s="326">
        <v>102000</v>
      </c>
      <c r="E1267" s="321"/>
      <c r="F1267" s="327">
        <f t="shared" si="28"/>
        <v>102000</v>
      </c>
      <c r="G1267" s="321"/>
      <c r="H1267" s="321"/>
      <c r="I1267" s="321"/>
      <c r="J1267" s="321"/>
      <c r="K1267" s="321"/>
      <c r="L1267" s="321"/>
      <c r="M1267" s="321"/>
      <c r="N1267" s="321"/>
      <c r="O1267" s="321"/>
      <c r="P1267" s="321"/>
      <c r="Q1267" s="321"/>
      <c r="R1267" s="321"/>
      <c r="S1267" s="321"/>
      <c r="T1267" s="321"/>
      <c r="U1267" s="321"/>
      <c r="V1267" s="321"/>
      <c r="W1267" s="321"/>
      <c r="X1267" s="321"/>
      <c r="Y1267" s="321"/>
      <c r="Z1267" s="321"/>
      <c r="AA1267" s="321"/>
    </row>
    <row r="1268" spans="1:27" s="322" customFormat="1" ht="16">
      <c r="A1268" s="323" t="s">
        <v>69</v>
      </c>
      <c r="D1268" s="326">
        <v>20000</v>
      </c>
      <c r="E1268" s="321"/>
      <c r="F1268" s="321"/>
      <c r="G1268" s="327">
        <f t="shared" ref="G1268:G1270" si="29">D1268</f>
        <v>20000</v>
      </c>
      <c r="H1268" s="321"/>
      <c r="I1268" s="321"/>
      <c r="J1268" s="321"/>
      <c r="K1268" s="321"/>
      <c r="L1268" s="321"/>
      <c r="M1268" s="321"/>
      <c r="N1268" s="321"/>
      <c r="O1268" s="321"/>
      <c r="P1268" s="321"/>
      <c r="Q1268" s="321"/>
      <c r="R1268" s="321"/>
      <c r="S1268" s="321"/>
      <c r="T1268" s="321"/>
      <c r="U1268" s="321"/>
      <c r="V1268" s="321"/>
      <c r="W1268" s="321"/>
      <c r="X1268" s="321"/>
      <c r="Y1268" s="321"/>
      <c r="Z1268" s="321"/>
      <c r="AA1268" s="321"/>
    </row>
    <row r="1269" spans="1:27" s="322" customFormat="1" ht="16">
      <c r="A1269" s="323" t="s">
        <v>746</v>
      </c>
      <c r="D1269" s="326">
        <v>31000</v>
      </c>
      <c r="E1269" s="321"/>
      <c r="F1269" s="321"/>
      <c r="G1269" s="327">
        <f t="shared" si="29"/>
        <v>31000</v>
      </c>
      <c r="H1269" s="321"/>
      <c r="I1269" s="321"/>
      <c r="J1269" s="321"/>
      <c r="K1269" s="321"/>
      <c r="L1269" s="321"/>
      <c r="M1269" s="321"/>
      <c r="N1269" s="321"/>
      <c r="O1269" s="321"/>
      <c r="P1269" s="321"/>
      <c r="Q1269" s="321"/>
      <c r="R1269" s="321"/>
      <c r="S1269" s="321"/>
      <c r="T1269" s="321"/>
      <c r="U1269" s="321"/>
      <c r="V1269" s="321"/>
      <c r="W1269" s="321"/>
      <c r="X1269" s="321"/>
      <c r="Y1269" s="321"/>
      <c r="Z1269" s="321"/>
      <c r="AA1269" s="321"/>
    </row>
    <row r="1270" spans="1:27" s="322" customFormat="1" ht="16">
      <c r="A1270" s="323" t="s">
        <v>747</v>
      </c>
      <c r="D1270" s="326">
        <v>111000</v>
      </c>
      <c r="E1270" s="321"/>
      <c r="F1270" s="321"/>
      <c r="G1270" s="327">
        <f t="shared" si="29"/>
        <v>111000</v>
      </c>
      <c r="H1270" s="321"/>
      <c r="I1270" s="321"/>
      <c r="J1270" s="321"/>
      <c r="K1270" s="321"/>
      <c r="L1270" s="321"/>
      <c r="M1270" s="321"/>
      <c r="N1270" s="321"/>
      <c r="O1270" s="321"/>
      <c r="P1270" s="321"/>
      <c r="Q1270" s="321"/>
      <c r="R1270" s="321"/>
      <c r="S1270" s="321"/>
      <c r="T1270" s="321"/>
      <c r="U1270" s="321"/>
      <c r="V1270" s="321"/>
      <c r="W1270" s="321"/>
      <c r="X1270" s="321"/>
      <c r="Y1270" s="321"/>
      <c r="Z1270" s="321"/>
      <c r="AA1270" s="321"/>
    </row>
    <row r="1271" spans="1:27" s="322" customFormat="1" ht="16">
      <c r="A1271" s="323" t="s">
        <v>748</v>
      </c>
      <c r="D1271" s="326">
        <v>68000</v>
      </c>
      <c r="E1271" s="321"/>
      <c r="F1271" s="321"/>
      <c r="G1271" s="321"/>
      <c r="H1271" s="327">
        <f t="shared" ref="H1271:H1272" si="30">D1271</f>
        <v>68000</v>
      </c>
      <c r="I1271" s="321"/>
      <c r="J1271" s="321"/>
      <c r="K1271" s="321"/>
      <c r="L1271" s="321"/>
      <c r="M1271" s="321"/>
      <c r="N1271" s="321"/>
      <c r="O1271" s="321"/>
      <c r="P1271" s="321"/>
      <c r="Q1271" s="321"/>
      <c r="R1271" s="321"/>
      <c r="S1271" s="321"/>
      <c r="T1271" s="321"/>
      <c r="U1271" s="321"/>
      <c r="V1271" s="321"/>
      <c r="W1271" s="321"/>
      <c r="X1271" s="321"/>
      <c r="Y1271" s="321"/>
      <c r="Z1271" s="321"/>
      <c r="AA1271" s="321"/>
    </row>
    <row r="1272" spans="1:27" s="322" customFormat="1" ht="16">
      <c r="A1272" s="323" t="s">
        <v>749</v>
      </c>
      <c r="D1272" s="326">
        <v>12000</v>
      </c>
      <c r="E1272" s="321"/>
      <c r="F1272" s="321"/>
      <c r="G1272" s="321"/>
      <c r="H1272" s="327">
        <f t="shared" si="30"/>
        <v>12000</v>
      </c>
      <c r="I1272" s="321"/>
      <c r="J1272" s="321"/>
      <c r="K1272" s="321"/>
      <c r="L1272" s="321"/>
      <c r="M1272" s="321"/>
      <c r="N1272" s="321"/>
      <c r="O1272" s="321"/>
      <c r="P1272" s="321"/>
      <c r="Q1272" s="321"/>
      <c r="R1272" s="321"/>
      <c r="S1272" s="321"/>
      <c r="T1272" s="321"/>
      <c r="U1272" s="321"/>
      <c r="V1272" s="321"/>
      <c r="W1272" s="321"/>
      <c r="X1272" s="321"/>
      <c r="Y1272" s="321"/>
      <c r="Z1272" s="321"/>
      <c r="AA1272" s="321"/>
    </row>
    <row r="1273" spans="1:27" s="322" customFormat="1" ht="16">
      <c r="A1273" s="328" t="s">
        <v>750</v>
      </c>
      <c r="B1273" s="329"/>
      <c r="C1273" s="329"/>
      <c r="D1273" s="326">
        <v>12000</v>
      </c>
      <c r="E1273" s="321"/>
      <c r="F1273" s="321"/>
      <c r="G1273" s="327">
        <f t="shared" ref="G1273:G1274" si="31">D1273</f>
        <v>12000</v>
      </c>
      <c r="H1273" s="321"/>
      <c r="I1273" s="321"/>
      <c r="J1273" s="321"/>
      <c r="K1273" s="321"/>
      <c r="L1273" s="321"/>
      <c r="M1273" s="321"/>
      <c r="N1273" s="321"/>
      <c r="O1273" s="321"/>
      <c r="P1273" s="321"/>
      <c r="Q1273" s="321"/>
      <c r="R1273" s="321"/>
      <c r="S1273" s="321"/>
      <c r="T1273" s="321"/>
      <c r="U1273" s="321"/>
      <c r="V1273" s="321"/>
      <c r="W1273" s="321"/>
      <c r="X1273" s="321"/>
      <c r="Y1273" s="321"/>
      <c r="Z1273" s="321"/>
      <c r="AA1273" s="321"/>
    </row>
    <row r="1274" spans="1:27" s="322" customFormat="1" ht="16">
      <c r="A1274" s="328" t="s">
        <v>751</v>
      </c>
      <c r="B1274" s="329"/>
      <c r="C1274" s="329"/>
      <c r="D1274" s="326">
        <v>9000</v>
      </c>
      <c r="E1274" s="321"/>
      <c r="F1274" s="321"/>
      <c r="G1274" s="327">
        <f t="shared" si="31"/>
        <v>9000</v>
      </c>
      <c r="H1274" s="321"/>
      <c r="I1274" s="321"/>
      <c r="J1274" s="321"/>
      <c r="K1274" s="321"/>
      <c r="L1274" s="321"/>
      <c r="M1274" s="321"/>
      <c r="N1274" s="321"/>
      <c r="O1274" s="321"/>
      <c r="P1274" s="321"/>
      <c r="Q1274" s="321"/>
      <c r="R1274" s="321"/>
      <c r="S1274" s="321"/>
      <c r="T1274" s="321"/>
      <c r="U1274" s="321"/>
      <c r="V1274" s="321"/>
      <c r="W1274" s="321"/>
      <c r="X1274" s="321"/>
      <c r="Y1274" s="321"/>
      <c r="Z1274" s="321"/>
      <c r="AA1274" s="321"/>
    </row>
    <row r="1275" spans="1:27" s="322" customFormat="1" ht="16">
      <c r="A1275" s="330" t="s">
        <v>752</v>
      </c>
      <c r="B1275" s="331"/>
      <c r="C1275" s="331"/>
      <c r="D1275" s="332">
        <v>15000</v>
      </c>
      <c r="E1275" s="333">
        <f>D1275</f>
        <v>15000</v>
      </c>
      <c r="F1275" s="321"/>
      <c r="G1275" s="321"/>
      <c r="H1275" s="321"/>
      <c r="I1275" s="321"/>
      <c r="J1275" s="321"/>
      <c r="K1275" s="321"/>
      <c r="L1275" s="321"/>
      <c r="M1275" s="321"/>
      <c r="N1275" s="321"/>
      <c r="O1275" s="321"/>
      <c r="P1275" s="321"/>
      <c r="Q1275" s="321"/>
      <c r="R1275" s="321"/>
      <c r="S1275" s="321"/>
      <c r="T1275" s="321"/>
      <c r="U1275" s="321"/>
      <c r="V1275" s="321"/>
      <c r="W1275" s="321"/>
      <c r="X1275" s="321"/>
      <c r="Y1275" s="321"/>
      <c r="Z1275" s="321"/>
      <c r="AA1275" s="321"/>
    </row>
    <row r="1276" spans="1:27" s="322" customFormat="1" ht="16">
      <c r="A1276" s="328" t="s">
        <v>753</v>
      </c>
      <c r="B1276" s="329"/>
      <c r="C1276" s="329"/>
      <c r="D1276" s="326">
        <v>23000</v>
      </c>
      <c r="E1276" s="321"/>
      <c r="F1276" s="321"/>
      <c r="G1276" s="327">
        <f>D1276</f>
        <v>23000</v>
      </c>
      <c r="H1276" s="321"/>
      <c r="I1276" s="321"/>
      <c r="J1276" s="321"/>
      <c r="K1276" s="321"/>
      <c r="L1276" s="321"/>
      <c r="M1276" s="321"/>
      <c r="N1276" s="321"/>
      <c r="O1276" s="321"/>
      <c r="P1276" s="321"/>
      <c r="Q1276" s="321"/>
      <c r="R1276" s="321"/>
      <c r="S1276" s="321"/>
      <c r="T1276" s="321"/>
      <c r="U1276" s="321"/>
      <c r="V1276" s="321"/>
      <c r="W1276" s="321"/>
      <c r="X1276" s="321"/>
      <c r="Y1276" s="321"/>
      <c r="Z1276" s="321"/>
      <c r="AA1276" s="321"/>
    </row>
    <row r="1277" spans="1:27" s="322" customFormat="1" ht="16">
      <c r="A1277" s="328" t="s">
        <v>723</v>
      </c>
      <c r="B1277" s="329"/>
      <c r="C1277" s="329"/>
      <c r="D1277" s="326">
        <v>24000</v>
      </c>
      <c r="E1277" s="321"/>
      <c r="F1277" s="321"/>
      <c r="G1277" s="321"/>
      <c r="H1277" s="321"/>
      <c r="I1277" s="327">
        <f t="shared" ref="I1277:I1278" si="32">D1277</f>
        <v>24000</v>
      </c>
      <c r="J1277" s="321"/>
      <c r="K1277" s="321"/>
      <c r="L1277" s="321"/>
      <c r="M1277" s="321"/>
      <c r="N1277" s="321"/>
      <c r="O1277" s="321"/>
      <c r="P1277" s="321"/>
      <c r="Q1277" s="321"/>
      <c r="R1277" s="321"/>
      <c r="S1277" s="321"/>
      <c r="T1277" s="321"/>
      <c r="U1277" s="321"/>
      <c r="V1277" s="321"/>
      <c r="W1277" s="321"/>
      <c r="X1277" s="321"/>
      <c r="Y1277" s="321"/>
      <c r="Z1277" s="321"/>
      <c r="AA1277" s="321"/>
    </row>
    <row r="1278" spans="1:27" s="322" customFormat="1" ht="16">
      <c r="A1278" s="328" t="s">
        <v>724</v>
      </c>
      <c r="B1278" s="329"/>
      <c r="C1278" s="329"/>
      <c r="D1278" s="326">
        <v>52000</v>
      </c>
      <c r="E1278" s="321"/>
      <c r="F1278" s="321"/>
      <c r="G1278" s="321"/>
      <c r="H1278" s="321"/>
      <c r="I1278" s="327">
        <f t="shared" si="32"/>
        <v>52000</v>
      </c>
      <c r="J1278" s="321"/>
      <c r="K1278" s="321"/>
      <c r="L1278" s="321"/>
      <c r="M1278" s="321"/>
      <c r="N1278" s="321"/>
      <c r="O1278" s="321"/>
      <c r="P1278" s="321"/>
      <c r="Q1278" s="321"/>
      <c r="R1278" s="321"/>
      <c r="S1278" s="321"/>
      <c r="T1278" s="321"/>
      <c r="U1278" s="321"/>
      <c r="V1278" s="321"/>
      <c r="W1278" s="321"/>
      <c r="X1278" s="321"/>
      <c r="Y1278" s="321"/>
      <c r="Z1278" s="321"/>
      <c r="AA1278" s="321"/>
    </row>
    <row r="1279" spans="1:27" s="322" customFormat="1" ht="16">
      <c r="A1279" s="328" t="s">
        <v>725</v>
      </c>
      <c r="B1279" s="329"/>
      <c r="C1279" s="329"/>
      <c r="D1279" s="334" t="s">
        <v>754</v>
      </c>
      <c r="E1279" s="335"/>
      <c r="F1279" s="335"/>
      <c r="G1279" s="335"/>
      <c r="H1279" s="335"/>
      <c r="I1279" s="335" t="s">
        <v>754</v>
      </c>
      <c r="J1279" s="321"/>
      <c r="K1279" s="321"/>
      <c r="L1279" s="321"/>
      <c r="M1279" s="321"/>
      <c r="N1279" s="321"/>
      <c r="O1279" s="321"/>
      <c r="P1279" s="321"/>
      <c r="Q1279" s="321"/>
      <c r="R1279" s="321"/>
      <c r="S1279" s="321"/>
      <c r="T1279" s="321"/>
      <c r="U1279" s="321"/>
      <c r="V1279" s="321"/>
      <c r="W1279" s="321"/>
      <c r="X1279" s="321"/>
      <c r="Y1279" s="321"/>
      <c r="Z1279" s="321"/>
      <c r="AA1279" s="321"/>
    </row>
    <row r="1280" spans="1:27" s="322" customFormat="1" ht="16">
      <c r="A1280" s="323" t="s">
        <v>755</v>
      </c>
      <c r="D1280" s="326">
        <v>66000</v>
      </c>
      <c r="E1280" s="321"/>
      <c r="F1280" s="327">
        <f>D1280</f>
        <v>66000</v>
      </c>
      <c r="G1280" s="321"/>
      <c r="H1280" s="321"/>
      <c r="I1280" s="321"/>
      <c r="J1280" s="321"/>
      <c r="K1280" s="321"/>
      <c r="L1280" s="321"/>
      <c r="M1280" s="321"/>
      <c r="N1280" s="321"/>
      <c r="O1280" s="321"/>
      <c r="P1280" s="321"/>
      <c r="Q1280" s="321"/>
      <c r="R1280" s="321"/>
      <c r="S1280" s="321"/>
      <c r="T1280" s="321"/>
      <c r="U1280" s="321"/>
      <c r="V1280" s="321"/>
      <c r="W1280" s="321"/>
      <c r="X1280" s="321"/>
      <c r="Y1280" s="321"/>
      <c r="Z1280" s="321"/>
      <c r="AA1280" s="321"/>
    </row>
    <row r="1281" spans="1:27" s="322" customFormat="1" ht="16">
      <c r="A1281" s="323" t="s">
        <v>756</v>
      </c>
      <c r="D1281" s="326">
        <v>7000</v>
      </c>
      <c r="E1281" s="321"/>
      <c r="F1281" s="321"/>
      <c r="G1281" s="327">
        <f>D1281</f>
        <v>7000</v>
      </c>
      <c r="H1281" s="321"/>
      <c r="I1281" s="321"/>
      <c r="J1281" s="321"/>
      <c r="K1281" s="321"/>
      <c r="L1281" s="321"/>
      <c r="M1281" s="321"/>
      <c r="N1281" s="321"/>
      <c r="O1281" s="321"/>
      <c r="P1281" s="321"/>
      <c r="Q1281" s="321"/>
      <c r="R1281" s="321"/>
      <c r="S1281" s="321"/>
      <c r="T1281" s="321"/>
      <c r="U1281" s="321"/>
      <c r="V1281" s="321"/>
      <c r="W1281" s="321"/>
      <c r="X1281" s="321"/>
      <c r="Y1281" s="321"/>
      <c r="Z1281" s="321"/>
      <c r="AA1281" s="321"/>
    </row>
    <row r="1282" spans="1:27" s="322" customFormat="1" ht="16">
      <c r="A1282" s="330" t="s">
        <v>757</v>
      </c>
      <c r="B1282" s="331"/>
      <c r="C1282" s="331"/>
      <c r="D1282" s="332">
        <v>40000</v>
      </c>
      <c r="E1282" s="333">
        <f t="shared" ref="E1282:E1283" si="33">D1282</f>
        <v>40000</v>
      </c>
      <c r="F1282" s="321"/>
      <c r="G1282" s="321"/>
      <c r="H1282" s="321"/>
      <c r="I1282" s="321"/>
      <c r="J1282" s="321"/>
      <c r="K1282" s="321"/>
      <c r="L1282" s="321"/>
      <c r="M1282" s="321"/>
      <c r="N1282" s="321"/>
      <c r="O1282" s="321"/>
      <c r="P1282" s="321"/>
      <c r="Q1282" s="321"/>
      <c r="R1282" s="321"/>
      <c r="S1282" s="321"/>
      <c r="T1282" s="321"/>
      <c r="U1282" s="321"/>
      <c r="V1282" s="321"/>
      <c r="W1282" s="321"/>
      <c r="X1282" s="321"/>
      <c r="Y1282" s="321"/>
      <c r="Z1282" s="321"/>
      <c r="AA1282" s="321"/>
    </row>
    <row r="1283" spans="1:27" s="322" customFormat="1" ht="16">
      <c r="A1283" s="316" t="s">
        <v>758</v>
      </c>
      <c r="B1283" s="317"/>
      <c r="C1283" s="317"/>
      <c r="D1283" s="332">
        <v>16000</v>
      </c>
      <c r="E1283" s="333">
        <f t="shared" si="33"/>
        <v>16000</v>
      </c>
      <c r="F1283" s="321"/>
      <c r="G1283" s="321"/>
      <c r="H1283" s="321"/>
      <c r="I1283" s="321"/>
      <c r="J1283" s="321"/>
      <c r="K1283" s="321"/>
      <c r="L1283" s="321"/>
      <c r="M1283" s="321"/>
      <c r="N1283" s="321"/>
      <c r="O1283" s="321"/>
      <c r="P1283" s="321"/>
      <c r="Q1283" s="321"/>
      <c r="R1283" s="321"/>
      <c r="S1283" s="321"/>
      <c r="T1283" s="321"/>
      <c r="U1283" s="321"/>
      <c r="V1283" s="321"/>
      <c r="W1283" s="321"/>
      <c r="X1283" s="321"/>
      <c r="Y1283" s="321"/>
      <c r="Z1283" s="321"/>
      <c r="AA1283" s="321"/>
    </row>
    <row r="1284" spans="1:27" s="322" customFormat="1" ht="16">
      <c r="A1284" s="323" t="s">
        <v>759</v>
      </c>
      <c r="D1284" s="326">
        <v>17000</v>
      </c>
      <c r="E1284" s="321"/>
      <c r="F1284" s="321"/>
      <c r="G1284" s="327">
        <f>D1284</f>
        <v>17000</v>
      </c>
      <c r="H1284" s="321"/>
      <c r="I1284" s="321"/>
      <c r="J1284" s="321"/>
      <c r="K1284" s="321"/>
      <c r="L1284" s="321"/>
      <c r="M1284" s="321"/>
      <c r="N1284" s="321"/>
      <c r="O1284" s="321"/>
      <c r="P1284" s="321"/>
      <c r="Q1284" s="321"/>
      <c r="R1284" s="321"/>
      <c r="S1284" s="321"/>
      <c r="T1284" s="321"/>
      <c r="U1284" s="321"/>
      <c r="V1284" s="321"/>
      <c r="W1284" s="321"/>
      <c r="X1284" s="321"/>
      <c r="Y1284" s="321"/>
      <c r="Z1284" s="321"/>
      <c r="AA1284" s="321"/>
    </row>
    <row r="1285" spans="1:27" s="322" customFormat="1" ht="16">
      <c r="A1285" s="323" t="s">
        <v>760</v>
      </c>
      <c r="D1285" s="326">
        <v>61000</v>
      </c>
      <c r="E1285" s="321"/>
      <c r="F1285" s="321"/>
      <c r="G1285" s="321"/>
      <c r="H1285" s="327">
        <f>D1285</f>
        <v>61000</v>
      </c>
      <c r="I1285" s="321"/>
      <c r="J1285" s="321"/>
      <c r="K1285" s="321"/>
      <c r="L1285" s="321"/>
      <c r="M1285" s="321"/>
      <c r="N1285" s="321"/>
      <c r="O1285" s="321"/>
      <c r="P1285" s="321"/>
      <c r="Q1285" s="321"/>
      <c r="R1285" s="321"/>
      <c r="S1285" s="321"/>
      <c r="T1285" s="321"/>
      <c r="U1285" s="321"/>
      <c r="V1285" s="321"/>
      <c r="W1285" s="321"/>
      <c r="X1285" s="321"/>
      <c r="Y1285" s="321"/>
      <c r="Z1285" s="321"/>
      <c r="AA1285" s="321"/>
    </row>
    <row r="1286" spans="1:27" s="322" customFormat="1" ht="16">
      <c r="A1286" s="323" t="s">
        <v>734</v>
      </c>
      <c r="D1286" s="326">
        <v>33000</v>
      </c>
      <c r="E1286" s="321"/>
      <c r="F1286" s="321"/>
      <c r="G1286" s="327">
        <f t="shared" ref="G1286:G1287" si="34">D1286</f>
        <v>33000</v>
      </c>
      <c r="H1286" s="321"/>
      <c r="I1286" s="321"/>
      <c r="J1286" s="321"/>
      <c r="K1286" s="321"/>
      <c r="L1286" s="321"/>
      <c r="M1286" s="321"/>
      <c r="N1286" s="321"/>
      <c r="O1286" s="321"/>
      <c r="P1286" s="321"/>
      <c r="Q1286" s="321"/>
      <c r="R1286" s="321"/>
      <c r="S1286" s="321"/>
      <c r="T1286" s="321"/>
      <c r="U1286" s="321"/>
      <c r="V1286" s="321"/>
      <c r="W1286" s="321"/>
      <c r="X1286" s="321"/>
      <c r="Y1286" s="321"/>
      <c r="Z1286" s="321"/>
      <c r="AA1286" s="321"/>
    </row>
    <row r="1287" spans="1:27" s="322" customFormat="1" ht="16">
      <c r="A1287" s="323" t="s">
        <v>761</v>
      </c>
      <c r="D1287" s="326">
        <v>11000</v>
      </c>
      <c r="E1287" s="321"/>
      <c r="F1287" s="321"/>
      <c r="G1287" s="327">
        <f t="shared" si="34"/>
        <v>11000</v>
      </c>
      <c r="H1287" s="321"/>
      <c r="I1287" s="321"/>
      <c r="J1287" s="321"/>
      <c r="K1287" s="321"/>
      <c r="L1287" s="321"/>
      <c r="M1287" s="321"/>
      <c r="N1287" s="321"/>
      <c r="O1287" s="321"/>
      <c r="P1287" s="321"/>
      <c r="Q1287" s="321"/>
      <c r="R1287" s="321"/>
      <c r="S1287" s="321"/>
      <c r="T1287" s="321"/>
      <c r="U1287" s="321"/>
      <c r="V1287" s="321"/>
      <c r="W1287" s="321"/>
      <c r="X1287" s="321"/>
      <c r="Y1287" s="321"/>
      <c r="Z1287" s="321"/>
      <c r="AA1287" s="321"/>
    </row>
    <row r="1288" spans="1:27" s="322" customFormat="1" ht="16">
      <c r="A1288" s="316" t="s">
        <v>762</v>
      </c>
      <c r="B1288" s="317"/>
      <c r="C1288" s="317"/>
      <c r="D1288" s="332">
        <v>18000</v>
      </c>
      <c r="E1288" s="333">
        <f>D1288</f>
        <v>18000</v>
      </c>
      <c r="F1288" s="321"/>
      <c r="G1288" s="321"/>
      <c r="H1288" s="321"/>
      <c r="I1288" s="321"/>
      <c r="J1288" s="321"/>
      <c r="K1288" s="321"/>
      <c r="L1288" s="321"/>
      <c r="M1288" s="321"/>
      <c r="N1288" s="321"/>
      <c r="O1288" s="321"/>
      <c r="P1288" s="321"/>
      <c r="Q1288" s="321"/>
      <c r="R1288" s="321"/>
      <c r="S1288" s="321"/>
      <c r="T1288" s="321"/>
      <c r="U1288" s="321"/>
      <c r="V1288" s="321"/>
      <c r="W1288" s="321"/>
      <c r="X1288" s="321"/>
      <c r="Y1288" s="321"/>
      <c r="Z1288" s="321"/>
      <c r="AA1288" s="321"/>
    </row>
    <row r="1289" spans="1:27" s="322" customFormat="1" ht="16">
      <c r="A1289" s="323" t="s">
        <v>556</v>
      </c>
      <c r="D1289" s="326">
        <v>12000</v>
      </c>
      <c r="E1289" s="321"/>
      <c r="F1289" s="321"/>
      <c r="G1289" s="327">
        <f>D1289</f>
        <v>12000</v>
      </c>
      <c r="H1289" s="321"/>
      <c r="I1289" s="321"/>
      <c r="J1289" s="321"/>
      <c r="K1289" s="321"/>
      <c r="L1289" s="321"/>
      <c r="M1289" s="321"/>
      <c r="N1289" s="321"/>
      <c r="O1289" s="321"/>
      <c r="P1289" s="321"/>
      <c r="Q1289" s="321"/>
      <c r="R1289" s="321"/>
      <c r="S1289" s="321"/>
      <c r="T1289" s="321"/>
      <c r="U1289" s="321"/>
      <c r="V1289" s="321"/>
      <c r="W1289" s="321"/>
      <c r="X1289" s="321"/>
      <c r="Y1289" s="321"/>
      <c r="Z1289" s="321"/>
      <c r="AA1289" s="321"/>
    </row>
    <row r="1290" spans="1:27" s="303" customFormat="1" ht="16">
      <c r="A1290" s="336" t="s">
        <v>495</v>
      </c>
      <c r="B1290" s="336"/>
      <c r="C1290" s="336"/>
      <c r="D1290" s="336"/>
      <c r="E1290" s="337">
        <f>SUM(E1254:E1289)</f>
        <v>1070000</v>
      </c>
      <c r="F1290" s="337">
        <f>SUM(F1254:F1289)</f>
        <v>1524000</v>
      </c>
      <c r="G1290" s="338">
        <f>SUM(G1254:G1289)</f>
        <v>286000</v>
      </c>
      <c r="H1290" s="338">
        <f>SUM(H1254:H1289)</f>
        <v>141000</v>
      </c>
      <c r="I1290" s="339" t="s">
        <v>763</v>
      </c>
      <c r="J1290" s="336"/>
      <c r="K1290" s="336"/>
      <c r="L1290" s="336"/>
      <c r="M1290" s="336"/>
      <c r="N1290" s="336"/>
      <c r="O1290" s="336"/>
      <c r="P1290" s="336"/>
      <c r="Q1290" s="336"/>
      <c r="R1290" s="336"/>
      <c r="S1290" s="336"/>
      <c r="T1290" s="336"/>
      <c r="U1290" s="336"/>
      <c r="V1290" s="336"/>
      <c r="W1290" s="336"/>
      <c r="X1290" s="336"/>
      <c r="Y1290" s="336"/>
      <c r="Z1290" s="336"/>
      <c r="AA1290" s="336"/>
    </row>
    <row r="1291" spans="1:27" s="303" customFormat="1" ht="16">
      <c r="A1291" s="315"/>
      <c r="B1291" s="315"/>
      <c r="C1291" s="315"/>
      <c r="D1291" s="315"/>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c r="C1292" s="315"/>
      <c r="D1292" s="315"/>
      <c r="E1292" s="681" t="s">
        <v>738</v>
      </c>
      <c r="F1292" s="676"/>
      <c r="G1292" s="310" t="s">
        <v>561</v>
      </c>
      <c r="H1292" s="310"/>
      <c r="I1292" s="310"/>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34">
      <c r="A1293" s="315"/>
      <c r="B1293" s="315"/>
      <c r="C1293" s="315"/>
      <c r="D1293" s="315"/>
      <c r="E1293" s="340" t="s">
        <v>739</v>
      </c>
      <c r="F1293" s="340" t="s">
        <v>740</v>
      </c>
      <c r="G1293" s="341" t="s">
        <v>741</v>
      </c>
      <c r="H1293" s="341" t="s">
        <v>742</v>
      </c>
      <c r="I1293" s="340" t="s">
        <v>78</v>
      </c>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2" t="s">
        <v>764</v>
      </c>
      <c r="B1295" s="315"/>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765</v>
      </c>
      <c r="B1296" s="315"/>
      <c r="C1296" s="315"/>
      <c r="D1296" s="315"/>
      <c r="E1296" s="315"/>
      <c r="F1296" s="315"/>
      <c r="G1296" s="315"/>
      <c r="H1296" s="315"/>
      <c r="I1296" s="315" t="s">
        <v>766</v>
      </c>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767</v>
      </c>
      <c r="B1297" s="315"/>
      <c r="C1297" s="315"/>
      <c r="D1297" s="315"/>
      <c r="E1297" s="315"/>
      <c r="F1297" s="315"/>
      <c r="G1297" s="315"/>
      <c r="H1297" s="343">
        <f>E1290+F1290-G1290-H1290-76000</f>
        <v>2091000</v>
      </c>
      <c r="I1297" s="315" t="s">
        <v>768</v>
      </c>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7" thickBot="1">
      <c r="A1299" s="315"/>
      <c r="B1299" s="315"/>
      <c r="C1299" s="315"/>
      <c r="D1299" s="315"/>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C1300" s="344" t="s">
        <v>769</v>
      </c>
      <c r="D1300" s="345"/>
      <c r="E1300" s="345"/>
      <c r="F1300" s="345"/>
      <c r="G1300" s="345"/>
      <c r="H1300" s="346"/>
      <c r="I1300" s="346"/>
      <c r="J1300" s="346"/>
      <c r="K1300" s="347"/>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c r="C1301" s="348"/>
      <c r="D1301" s="349"/>
      <c r="E1301" s="349"/>
      <c r="F1301" s="349"/>
      <c r="G1301" s="349"/>
      <c r="H1301" s="349"/>
      <c r="I1301" s="349"/>
      <c r="J1301" s="349"/>
      <c r="K1301" s="350"/>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c r="C1302" s="351" t="s">
        <v>131</v>
      </c>
      <c r="D1302" s="352"/>
      <c r="E1302" s="349"/>
      <c r="F1302" s="349"/>
      <c r="G1302" s="349"/>
      <c r="H1302" s="353" t="s">
        <v>550</v>
      </c>
      <c r="I1302" s="349"/>
      <c r="J1302" s="349"/>
      <c r="K1302" s="350"/>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c r="C1303" s="348"/>
      <c r="D1303" s="352"/>
      <c r="E1303" s="349"/>
      <c r="F1303" s="349"/>
      <c r="G1303" s="349"/>
      <c r="H1303" s="349"/>
      <c r="I1303" s="349"/>
      <c r="J1303" s="349"/>
      <c r="K1303" s="350"/>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51" t="s">
        <v>62</v>
      </c>
      <c r="D1304" s="352"/>
      <c r="E1304" s="349"/>
      <c r="F1304" s="349"/>
      <c r="G1304" s="349"/>
      <c r="H1304" s="353" t="s">
        <v>63</v>
      </c>
      <c r="I1304" s="349"/>
      <c r="J1304" s="349"/>
      <c r="K1304" s="350"/>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15"/>
      <c r="B1305" s="315"/>
      <c r="C1305" s="354" t="s">
        <v>66</v>
      </c>
      <c r="D1305" s="355"/>
      <c r="E1305" s="356">
        <f>E1256+E1257</f>
        <v>420000</v>
      </c>
      <c r="F1305" s="357" t="s">
        <v>770</v>
      </c>
      <c r="G1305" s="349"/>
      <c r="H1305" s="357" t="s">
        <v>771</v>
      </c>
      <c r="I1305" s="357"/>
      <c r="J1305" s="358">
        <f>G1270+G1281+G1286</f>
        <v>151000</v>
      </c>
      <c r="K1305" s="359" t="s">
        <v>772</v>
      </c>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c r="B1306" s="315"/>
      <c r="C1306" s="354" t="s">
        <v>773</v>
      </c>
      <c r="D1306" s="355"/>
      <c r="E1306" s="356">
        <f>E1254+E1255+E1282+E1283</f>
        <v>526000</v>
      </c>
      <c r="F1306" s="357" t="s">
        <v>774</v>
      </c>
      <c r="G1306" s="349"/>
      <c r="H1306" s="357" t="s">
        <v>69</v>
      </c>
      <c r="I1306" s="357"/>
      <c r="J1306" s="358">
        <f>G1268+G1284</f>
        <v>37000</v>
      </c>
      <c r="K1306" s="359" t="s">
        <v>775</v>
      </c>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c r="B1307" s="315"/>
      <c r="C1307" s="354" t="s">
        <v>553</v>
      </c>
      <c r="D1307" s="355"/>
      <c r="E1307" s="356">
        <f>E1259+E1288+E1275</f>
        <v>45000</v>
      </c>
      <c r="F1307" s="357" t="s">
        <v>776</v>
      </c>
      <c r="G1307" s="349"/>
      <c r="H1307" s="357" t="s">
        <v>552</v>
      </c>
      <c r="I1307" s="357"/>
      <c r="J1307" s="358">
        <f>G1269+G1273+G1274+G1276+G1287+G1289</f>
        <v>98000</v>
      </c>
      <c r="K1307" s="359" t="s">
        <v>777</v>
      </c>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c r="B1308" s="315"/>
      <c r="C1308" s="354" t="s">
        <v>557</v>
      </c>
      <c r="D1308" s="355"/>
      <c r="E1308" s="356">
        <f t="shared" ref="E1308:E1309" si="35">E1260</f>
        <v>35000</v>
      </c>
      <c r="F1308" s="357"/>
      <c r="G1308" s="349"/>
      <c r="H1308" s="357" t="s">
        <v>495</v>
      </c>
      <c r="I1308" s="355"/>
      <c r="J1308" s="360">
        <f>SUM(J1303:J1307)</f>
        <v>286000</v>
      </c>
      <c r="K1308" s="359"/>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54" t="s">
        <v>778</v>
      </c>
      <c r="D1309" s="355"/>
      <c r="E1309" s="356">
        <f t="shared" si="35"/>
        <v>44000</v>
      </c>
      <c r="F1309" s="357"/>
      <c r="G1309" s="349"/>
      <c r="H1309" s="357"/>
      <c r="I1309" s="357"/>
      <c r="J1309" s="357"/>
      <c r="K1309" s="359"/>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c r="C1310" s="354" t="s">
        <v>495</v>
      </c>
      <c r="D1310" s="355"/>
      <c r="E1310" s="360">
        <f>SUM(E1305:E1309)</f>
        <v>1070000</v>
      </c>
      <c r="F1310" s="357"/>
      <c r="G1310" s="349"/>
      <c r="H1310" s="349"/>
      <c r="I1310" s="349"/>
      <c r="J1310" s="349"/>
      <c r="K1310" s="350"/>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c r="C1311" s="348"/>
      <c r="D1311" s="352"/>
      <c r="E1311" s="349"/>
      <c r="F1311" s="349"/>
      <c r="G1311" s="349"/>
      <c r="H1311" s="357"/>
      <c r="I1311" s="357"/>
      <c r="J1311" s="357"/>
      <c r="K1311" s="359"/>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c r="C1312" s="348"/>
      <c r="D1312" s="352"/>
      <c r="E1312" s="349"/>
      <c r="F1312" s="349"/>
      <c r="G1312" s="349"/>
      <c r="H1312" s="357"/>
      <c r="I1312" s="357"/>
      <c r="J1312" s="357"/>
      <c r="K1312" s="359"/>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c r="C1313" s="348"/>
      <c r="D1313" s="352"/>
      <c r="E1313" s="349"/>
      <c r="F1313" s="349"/>
      <c r="G1313" s="349"/>
      <c r="H1313" s="357"/>
      <c r="I1313" s="357"/>
      <c r="J1313" s="357"/>
      <c r="K1313" s="359"/>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51" t="s">
        <v>74</v>
      </c>
      <c r="D1314" s="352"/>
      <c r="E1314" s="349"/>
      <c r="F1314" s="349"/>
      <c r="G1314" s="349"/>
      <c r="H1314" s="361" t="s">
        <v>72</v>
      </c>
      <c r="I1314" s="357"/>
      <c r="J1314" s="357"/>
      <c r="K1314" s="359"/>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15"/>
      <c r="B1315" s="315"/>
      <c r="C1315" s="354" t="s">
        <v>497</v>
      </c>
      <c r="D1315" s="355"/>
      <c r="E1315" s="356">
        <f>F1262+F1263</f>
        <v>300000</v>
      </c>
      <c r="F1315" s="357" t="s">
        <v>779</v>
      </c>
      <c r="G1315" s="349"/>
      <c r="H1315" s="357" t="s">
        <v>75</v>
      </c>
      <c r="I1315" s="357"/>
      <c r="J1315" s="358">
        <f t="shared" ref="J1315:J1316" si="36">H1271</f>
        <v>68000</v>
      </c>
      <c r="K1315" s="359"/>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c r="B1316" s="315"/>
      <c r="C1316" s="354" t="s">
        <v>79</v>
      </c>
      <c r="D1316" s="355"/>
      <c r="E1316" s="358">
        <f>F1264</f>
        <v>840000</v>
      </c>
      <c r="F1316" s="357"/>
      <c r="G1316" s="349"/>
      <c r="H1316" s="357" t="s">
        <v>718</v>
      </c>
      <c r="I1316" s="357"/>
      <c r="J1316" s="358">
        <f t="shared" si="36"/>
        <v>12000</v>
      </c>
      <c r="K1316" s="359"/>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c r="B1317" s="315"/>
      <c r="C1317" s="354" t="s">
        <v>780</v>
      </c>
      <c r="D1317" s="355"/>
      <c r="E1317" s="358">
        <f>F1265+F1266+F1258</f>
        <v>216000</v>
      </c>
      <c r="F1317" s="357" t="s">
        <v>781</v>
      </c>
      <c r="G1317" s="349"/>
      <c r="H1317" s="357" t="s">
        <v>782</v>
      </c>
      <c r="I1317" s="357"/>
      <c r="J1317" s="358">
        <f>H1285</f>
        <v>61000</v>
      </c>
      <c r="K1317" s="359"/>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54" t="s">
        <v>81</v>
      </c>
      <c r="D1318" s="355"/>
      <c r="E1318" s="358">
        <f>F1267+F1280</f>
        <v>168000</v>
      </c>
      <c r="F1318" s="357" t="s">
        <v>783</v>
      </c>
      <c r="G1318" s="349"/>
      <c r="H1318" s="357" t="s">
        <v>495</v>
      </c>
      <c r="I1318" s="357"/>
      <c r="J1318" s="360">
        <f>SUM(J1313:J1317)</f>
        <v>141000</v>
      </c>
      <c r="K1318" s="359"/>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15"/>
      <c r="C1319" s="354" t="s">
        <v>495</v>
      </c>
      <c r="D1319" s="355"/>
      <c r="E1319" s="360">
        <f>SUM(E1314:E1318)</f>
        <v>1524000</v>
      </c>
      <c r="F1319" s="357"/>
      <c r="G1319" s="349"/>
      <c r="H1319" s="352"/>
      <c r="I1319" s="349"/>
      <c r="J1319" s="349"/>
      <c r="K1319" s="350"/>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15"/>
      <c r="C1320" s="354"/>
      <c r="D1320" s="357"/>
      <c r="E1320" s="357"/>
      <c r="F1320" s="357"/>
      <c r="G1320" s="349"/>
      <c r="H1320" s="353" t="s">
        <v>78</v>
      </c>
      <c r="I1320" s="349"/>
      <c r="J1320" s="349"/>
      <c r="K1320" s="350"/>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c r="C1321" s="348"/>
      <c r="D1321" s="349"/>
      <c r="E1321" s="349"/>
      <c r="F1321" s="349"/>
      <c r="G1321" s="349"/>
      <c r="H1321" s="357" t="s">
        <v>197</v>
      </c>
      <c r="I1321" s="357"/>
      <c r="J1321" s="358">
        <f t="shared" ref="J1321:J1322" si="37">I1277</f>
        <v>24000</v>
      </c>
      <c r="K1321" s="359"/>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48"/>
      <c r="D1322" s="349"/>
      <c r="E1322" s="349"/>
      <c r="F1322" s="349"/>
      <c r="G1322" s="349"/>
      <c r="H1322" s="357" t="s">
        <v>540</v>
      </c>
      <c r="I1322" s="357"/>
      <c r="J1322" s="358">
        <f t="shared" si="37"/>
        <v>52000</v>
      </c>
      <c r="K1322" s="359"/>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15"/>
      <c r="B1323" s="315"/>
      <c r="C1323" s="354"/>
      <c r="D1323" s="357"/>
      <c r="E1323" s="357"/>
      <c r="F1323" s="357"/>
      <c r="G1323" s="349"/>
      <c r="H1323" s="357" t="s">
        <v>500</v>
      </c>
      <c r="I1323" s="357"/>
      <c r="J1323" s="356">
        <f>H1297</f>
        <v>2091000</v>
      </c>
      <c r="K1323" s="359"/>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c r="B1324" s="315"/>
      <c r="C1324" s="362"/>
      <c r="D1324" s="357"/>
      <c r="E1324" s="357"/>
      <c r="F1324" s="357"/>
      <c r="G1324" s="349"/>
      <c r="H1324" s="357" t="s">
        <v>495</v>
      </c>
      <c r="I1324" s="357"/>
      <c r="J1324" s="360">
        <f>SUM(J1319:J1323)</f>
        <v>2167000</v>
      </c>
      <c r="K1324" s="359"/>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c r="B1325" s="315"/>
      <c r="C1325" s="354"/>
      <c r="D1325" s="357"/>
      <c r="E1325" s="357"/>
      <c r="F1325" s="357"/>
      <c r="G1325" s="349"/>
      <c r="H1325" s="357"/>
      <c r="I1325" s="357"/>
      <c r="J1325" s="357"/>
      <c r="K1325" s="359"/>
      <c r="L1325" s="315"/>
      <c r="M1325" s="315"/>
      <c r="N1325" s="315"/>
      <c r="O1325" s="315"/>
      <c r="P1325" s="315"/>
      <c r="Q1325" s="315"/>
      <c r="R1325" s="315"/>
      <c r="S1325" s="315"/>
      <c r="T1325" s="315"/>
      <c r="U1325" s="315"/>
      <c r="V1325" s="315"/>
      <c r="W1325" s="315"/>
      <c r="X1325" s="315"/>
      <c r="Y1325" s="315"/>
      <c r="Z1325" s="315"/>
      <c r="AA1325" s="315"/>
    </row>
    <row r="1326" spans="1:27" s="303" customFormat="1" ht="17" thickBot="1">
      <c r="A1326" s="315"/>
      <c r="B1326" s="315"/>
      <c r="C1326" s="363" t="s">
        <v>83</v>
      </c>
      <c r="D1326" s="364"/>
      <c r="E1326" s="365">
        <f>E1310+E1319</f>
        <v>2594000</v>
      </c>
      <c r="F1326" s="364"/>
      <c r="G1326" s="366"/>
      <c r="H1326" s="367" t="s">
        <v>561</v>
      </c>
      <c r="I1326" s="364"/>
      <c r="J1326" s="365">
        <f>J1308+J1318+J1324</f>
        <v>2594000</v>
      </c>
      <c r="K1326" s="368"/>
      <c r="L1326" s="315"/>
      <c r="M1326" s="315"/>
      <c r="N1326" s="315"/>
      <c r="O1326" s="315"/>
      <c r="P1326" s="315"/>
      <c r="Q1326" s="315"/>
      <c r="R1326" s="315"/>
      <c r="S1326" s="315"/>
      <c r="T1326" s="315"/>
      <c r="U1326" s="315"/>
      <c r="V1326" s="315"/>
      <c r="W1326" s="315"/>
      <c r="X1326" s="315"/>
      <c r="Y1326" s="315"/>
      <c r="Z1326" s="315"/>
      <c r="AA1326" s="315"/>
    </row>
    <row r="1327" spans="1:27" s="303" customFormat="1" ht="16">
      <c r="A1327" s="315"/>
      <c r="B1327" s="315"/>
      <c r="C1327" s="315"/>
      <c r="D1327" s="315"/>
      <c r="E1327" s="315"/>
      <c r="F1327" s="315"/>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A1328" s="315"/>
      <c r="B1328" s="315"/>
      <c r="C1328" s="315"/>
      <c r="D1328" s="315"/>
      <c r="E1328" s="315"/>
      <c r="F1328" s="315"/>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A1329" s="340" t="s">
        <v>784</v>
      </c>
      <c r="B1329" s="315"/>
      <c r="C1329" s="315"/>
      <c r="D1329" s="315"/>
      <c r="E1329" s="315"/>
      <c r="F1329" s="315"/>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t="s">
        <v>785</v>
      </c>
      <c r="B1330" s="315"/>
      <c r="C1330" s="315"/>
      <c r="D1330" s="315"/>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15"/>
      <c r="B1332" s="315" t="s">
        <v>66</v>
      </c>
      <c r="D1332" s="343">
        <f t="shared" ref="D1332:D1333" si="38">E1256</f>
        <v>120000</v>
      </c>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c r="B1333" s="315" t="s">
        <v>707</v>
      </c>
      <c r="D1333" s="343">
        <f t="shared" si="38"/>
        <v>300000</v>
      </c>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c r="B1334" s="315" t="s">
        <v>786</v>
      </c>
      <c r="D1334" s="369">
        <f>D1332+D1333</f>
        <v>420000</v>
      </c>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40" t="s">
        <v>787</v>
      </c>
      <c r="B1336" s="340"/>
      <c r="C1336" s="315"/>
      <c r="D1336" s="315"/>
      <c r="E1336" s="315"/>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t="s">
        <v>788</v>
      </c>
      <c r="B1337" s="315"/>
      <c r="C1337" s="315"/>
      <c r="D1337" s="315"/>
      <c r="E1337" s="315"/>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t="s">
        <v>789</v>
      </c>
      <c r="B1338" s="315"/>
      <c r="C1338" s="315"/>
      <c r="D1338" s="315"/>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15"/>
      <c r="B1340" s="315" t="s">
        <v>790</v>
      </c>
      <c r="D1340" s="343">
        <f>E1254</f>
        <v>500000</v>
      </c>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c r="B1341" s="315" t="s">
        <v>549</v>
      </c>
      <c r="D1341" s="370">
        <f>E1283</f>
        <v>16000</v>
      </c>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c r="B1342" s="315" t="s">
        <v>730</v>
      </c>
      <c r="D1342" s="370">
        <f>E1282</f>
        <v>40000</v>
      </c>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t="s">
        <v>706</v>
      </c>
      <c r="D1343" s="343">
        <f>E1255</f>
        <v>-30000</v>
      </c>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15" t="s">
        <v>791</v>
      </c>
      <c r="D1344" s="369">
        <f>SUM(D1340:D1343)</f>
        <v>526000</v>
      </c>
      <c r="E1344" s="315"/>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15"/>
      <c r="C1345" s="315"/>
      <c r="D1345" s="315"/>
      <c r="E1345" s="315"/>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40" t="s">
        <v>792</v>
      </c>
      <c r="B1346" s="340"/>
      <c r="C1346" s="315"/>
      <c r="D1346" s="315"/>
      <c r="E1346" s="315"/>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t="s">
        <v>793</v>
      </c>
      <c r="B1347" s="315"/>
      <c r="C1347" s="315"/>
      <c r="D1347" s="315"/>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t="s">
        <v>794</v>
      </c>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15" t="s">
        <v>795</v>
      </c>
      <c r="B1349" s="315"/>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t="s">
        <v>553</v>
      </c>
      <c r="D1351" s="343">
        <f>E1259</f>
        <v>12000</v>
      </c>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15" t="s">
        <v>736</v>
      </c>
      <c r="D1352" s="370">
        <f>E1288</f>
        <v>18000</v>
      </c>
      <c r="E1352" s="315"/>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15" t="s">
        <v>721</v>
      </c>
      <c r="D1353" s="370">
        <f>E1275</f>
        <v>15000</v>
      </c>
      <c r="E1353" s="315"/>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796</v>
      </c>
      <c r="D1354" s="371">
        <f>SUM(D1350:D1353)</f>
        <v>45000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512</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797</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t="s">
        <v>798</v>
      </c>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A1359" s="315"/>
      <c r="B1359" s="315"/>
      <c r="C1359" s="315"/>
      <c r="D1359" s="315"/>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A1360" s="315"/>
      <c r="B1360" s="304" t="s">
        <v>799</v>
      </c>
      <c r="C1360" s="306"/>
      <c r="D1360" s="307">
        <v>320000</v>
      </c>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A1361" s="315"/>
      <c r="B1361" s="304" t="s">
        <v>712</v>
      </c>
      <c r="C1361" s="306"/>
      <c r="D1361" s="307">
        <v>-20000</v>
      </c>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A1362" s="315"/>
      <c r="B1362" s="315" t="s">
        <v>800</v>
      </c>
      <c r="C1362" s="315"/>
      <c r="D1362" s="369">
        <f>SUM(D1358:D1361)</f>
        <v>300000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A1363" s="315"/>
      <c r="B1363" s="315"/>
      <c r="C1363" s="315"/>
      <c r="D1363" s="315"/>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A1364" s="340" t="s">
        <v>801</v>
      </c>
      <c r="B1364" s="340"/>
      <c r="C1364" s="315"/>
      <c r="D1364" s="315"/>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t="s">
        <v>802</v>
      </c>
      <c r="B1365" s="315"/>
      <c r="C1365" s="315"/>
      <c r="D1365" s="315"/>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t="s">
        <v>803</v>
      </c>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16">
      <c r="A1367" s="315"/>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B1368" s="304" t="s">
        <v>804</v>
      </c>
      <c r="C1368" s="306"/>
      <c r="D1368" s="372">
        <v>160000</v>
      </c>
      <c r="E1368" s="306"/>
      <c r="F1368" s="372"/>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B1369" s="304" t="s">
        <v>713</v>
      </c>
      <c r="C1369" s="306"/>
      <c r="D1369" s="373">
        <v>34000</v>
      </c>
      <c r="E1369" s="306"/>
      <c r="F1369" s="373"/>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B1370" s="304" t="s">
        <v>714</v>
      </c>
      <c r="C1370" s="306"/>
      <c r="D1370" s="373">
        <v>22000</v>
      </c>
      <c r="E1370" s="306"/>
      <c r="F1370" s="373"/>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c r="B1371" s="315" t="s">
        <v>780</v>
      </c>
      <c r="C1371" s="315"/>
      <c r="D1371" s="369">
        <f>SUM(D1367:D1370)</f>
        <v>216000</v>
      </c>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40" t="s">
        <v>805</v>
      </c>
      <c r="B1373" s="340"/>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315" t="s">
        <v>806</v>
      </c>
      <c r="B1374" s="315"/>
      <c r="C1374" s="315"/>
      <c r="D1374" s="315"/>
      <c r="E1374" s="315"/>
      <c r="F1374" s="315"/>
      <c r="G1374" s="315"/>
      <c r="H1374" s="315"/>
      <c r="I1374" s="315"/>
      <c r="J1374" s="315"/>
      <c r="K1374" s="315"/>
      <c r="L1374" s="315"/>
      <c r="M1374" s="315"/>
      <c r="N1374" s="315"/>
      <c r="O1374" s="315"/>
      <c r="P1374" s="315"/>
      <c r="Q1374" s="315"/>
      <c r="R1374" s="315"/>
      <c r="S1374" s="315"/>
      <c r="T1374" s="315"/>
      <c r="U1374" s="315"/>
      <c r="V1374" s="315"/>
      <c r="W1374" s="315"/>
      <c r="X1374" s="315"/>
      <c r="Y1374" s="315"/>
      <c r="Z1374" s="315"/>
      <c r="AA1374" s="315"/>
    </row>
    <row r="1375" spans="1:27" s="303" customFormat="1" ht="16">
      <c r="A1375" s="315" t="s">
        <v>807</v>
      </c>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6">
      <c r="A1376" s="315"/>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15"/>
      <c r="B1377" s="304" t="s">
        <v>81</v>
      </c>
      <c r="C1377" s="306"/>
      <c r="D1377" s="373">
        <v>102000</v>
      </c>
      <c r="F1377" s="315"/>
      <c r="G1377" s="315"/>
      <c r="H1377" s="315"/>
      <c r="I1377" s="315"/>
      <c r="J1377" s="315"/>
      <c r="K1377" s="315"/>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15"/>
      <c r="B1378" s="304" t="s">
        <v>727</v>
      </c>
      <c r="C1378" s="306"/>
      <c r="D1378" s="373">
        <v>66000</v>
      </c>
      <c r="F1378" s="315"/>
      <c r="G1378" s="315"/>
      <c r="H1378" s="315"/>
      <c r="I1378" s="315"/>
      <c r="J1378" s="315"/>
      <c r="K1378" s="315"/>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15"/>
      <c r="B1379" s="315" t="s">
        <v>81</v>
      </c>
      <c r="C1379" s="315"/>
      <c r="D1379" s="369">
        <f>SUM(D1375:D1378)</f>
        <v>168000</v>
      </c>
      <c r="E1379" s="315"/>
      <c r="F1379" s="315"/>
      <c r="G1379" s="315"/>
      <c r="H1379" s="315"/>
      <c r="I1379" s="315"/>
      <c r="J1379" s="315"/>
      <c r="K1379" s="315"/>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15"/>
      <c r="B1380" s="315"/>
      <c r="C1380" s="315"/>
      <c r="D1380" s="315"/>
      <c r="E1380" s="315"/>
      <c r="F1380" s="315"/>
      <c r="G1380" s="315"/>
      <c r="H1380" s="315"/>
      <c r="I1380" s="315"/>
      <c r="J1380" s="315"/>
      <c r="K1380" s="315"/>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40" t="s">
        <v>808</v>
      </c>
      <c r="B1381" s="340"/>
      <c r="C1381" s="315"/>
      <c r="D1381" s="315"/>
      <c r="E1381" s="315"/>
      <c r="F1381" s="315"/>
      <c r="G1381" s="315"/>
      <c r="H1381" s="315"/>
      <c r="I1381" s="315"/>
      <c r="J1381" s="315"/>
      <c r="K1381" s="315"/>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15" t="s">
        <v>809</v>
      </c>
      <c r="B1382" s="315"/>
      <c r="C1382" s="315"/>
      <c r="D1382" s="315"/>
      <c r="E1382" s="315"/>
      <c r="F1382" s="315"/>
      <c r="G1382" s="315"/>
      <c r="H1382" s="315"/>
      <c r="I1382" s="315"/>
      <c r="J1382" s="315"/>
      <c r="K1382" s="315"/>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15" t="s">
        <v>810</v>
      </c>
      <c r="B1383" s="315"/>
      <c r="C1383" s="315"/>
      <c r="D1383" s="315"/>
      <c r="E1383" s="315"/>
      <c r="F1383" s="315"/>
      <c r="G1383" s="315"/>
      <c r="H1383" s="315"/>
      <c r="I1383" s="315"/>
      <c r="J1383" s="315"/>
      <c r="K1383" s="315"/>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15"/>
      <c r="B1384" s="315"/>
      <c r="C1384" s="315"/>
      <c r="D1384" s="315"/>
      <c r="E1384" s="315"/>
      <c r="F1384" s="315"/>
      <c r="G1384" s="315"/>
      <c r="H1384" s="315"/>
      <c r="I1384" s="315"/>
      <c r="J1384" s="315"/>
      <c r="K1384" s="315"/>
      <c r="L1384" s="315"/>
      <c r="M1384" s="315"/>
      <c r="N1384" s="315"/>
      <c r="O1384" s="315"/>
      <c r="P1384" s="315"/>
      <c r="Q1384" s="315"/>
      <c r="R1384" s="315"/>
      <c r="S1384" s="315"/>
      <c r="T1384" s="315"/>
      <c r="U1384" s="315"/>
      <c r="V1384" s="315"/>
      <c r="W1384" s="315"/>
      <c r="X1384" s="315"/>
      <c r="Y1384" s="315"/>
      <c r="Z1384" s="315"/>
      <c r="AA1384" s="315"/>
    </row>
    <row r="1385" spans="1:27" s="303" customFormat="1" ht="16">
      <c r="A1385" s="315"/>
      <c r="B1385" s="304" t="s">
        <v>716</v>
      </c>
      <c r="C1385" s="306"/>
      <c r="D1385" s="373">
        <v>111000</v>
      </c>
      <c r="F1385" s="315"/>
      <c r="G1385" s="315"/>
      <c r="H1385" s="315"/>
      <c r="I1385" s="315"/>
      <c r="J1385" s="315"/>
      <c r="K1385" s="315"/>
      <c r="L1385" s="315"/>
      <c r="M1385" s="315"/>
      <c r="N1385" s="315"/>
      <c r="O1385" s="315"/>
      <c r="P1385" s="315"/>
      <c r="Q1385" s="315"/>
      <c r="R1385" s="315"/>
      <c r="S1385" s="315"/>
      <c r="T1385" s="315"/>
      <c r="U1385" s="315"/>
      <c r="V1385" s="315"/>
      <c r="W1385" s="315"/>
      <c r="X1385" s="315"/>
      <c r="Y1385" s="315"/>
      <c r="Z1385" s="315"/>
      <c r="AA1385" s="315"/>
    </row>
    <row r="1386" spans="1:27" s="303" customFormat="1" ht="16">
      <c r="A1386" s="315"/>
      <c r="B1386" s="304" t="s">
        <v>728</v>
      </c>
      <c r="C1386" s="306"/>
      <c r="D1386" s="373">
        <v>7000</v>
      </c>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15"/>
      <c r="B1387" s="304" t="s">
        <v>811</v>
      </c>
      <c r="C1387" s="306"/>
      <c r="D1387" s="373">
        <v>33000</v>
      </c>
      <c r="F1387" s="315"/>
      <c r="G1387" s="315"/>
      <c r="H1387" s="315"/>
      <c r="I1387" s="315"/>
      <c r="J1387" s="315"/>
      <c r="K1387" s="315"/>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15"/>
      <c r="B1388" s="315" t="s">
        <v>771</v>
      </c>
      <c r="C1388" s="315"/>
      <c r="D1388" s="369">
        <f>SUM(D1384:D1387)</f>
        <v>151000</v>
      </c>
      <c r="E1388" s="315"/>
      <c r="F1388" s="315"/>
      <c r="G1388" s="315"/>
      <c r="H1388" s="315"/>
      <c r="I1388" s="315"/>
      <c r="J1388" s="315"/>
      <c r="K1388" s="315"/>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15"/>
      <c r="B1389" s="315"/>
      <c r="C1389" s="315"/>
      <c r="D1389" s="315"/>
      <c r="E1389" s="315"/>
      <c r="F1389" s="315"/>
      <c r="G1389" s="315"/>
      <c r="H1389" s="315"/>
      <c r="I1389" s="315"/>
      <c r="J1389" s="315"/>
      <c r="K1389" s="315"/>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40" t="s">
        <v>812</v>
      </c>
      <c r="B1390" s="340"/>
      <c r="C1390" s="315"/>
      <c r="D1390" s="315"/>
      <c r="E1390" s="315"/>
      <c r="F1390" s="315"/>
      <c r="G1390" s="315"/>
      <c r="H1390" s="315"/>
      <c r="I1390" s="315"/>
      <c r="J1390" s="315"/>
      <c r="K1390" s="315"/>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15" t="s">
        <v>813</v>
      </c>
      <c r="B1391" s="315"/>
      <c r="C1391" s="315"/>
      <c r="D1391" s="315"/>
      <c r="E1391" s="315"/>
      <c r="F1391" s="315"/>
      <c r="G1391" s="315"/>
      <c r="H1391" s="315"/>
      <c r="I1391" s="315"/>
      <c r="J1391" s="315"/>
      <c r="K1391" s="315"/>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15"/>
      <c r="B1392" s="315"/>
      <c r="C1392" s="315"/>
      <c r="D1392" s="315"/>
      <c r="E1392" s="315"/>
      <c r="F1392" s="315"/>
      <c r="G1392" s="315"/>
      <c r="H1392" s="315"/>
      <c r="I1392" s="315"/>
      <c r="J1392" s="315"/>
      <c r="K1392" s="315"/>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15"/>
      <c r="B1393" s="304" t="s">
        <v>69</v>
      </c>
      <c r="C1393" s="306"/>
      <c r="D1393" s="373">
        <v>20000</v>
      </c>
      <c r="F1393" s="315"/>
      <c r="G1393" s="315"/>
      <c r="H1393" s="315"/>
      <c r="I1393" s="315"/>
      <c r="J1393" s="315"/>
      <c r="K1393" s="315"/>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15"/>
      <c r="B1394" s="304" t="s">
        <v>731</v>
      </c>
      <c r="C1394" s="306"/>
      <c r="D1394" s="373">
        <v>17000</v>
      </c>
      <c r="F1394" s="315"/>
      <c r="G1394" s="315"/>
      <c r="H1394" s="315"/>
      <c r="I1394" s="315"/>
      <c r="J1394" s="315"/>
      <c r="K1394" s="315"/>
      <c r="L1394" s="315"/>
      <c r="M1394" s="315"/>
      <c r="N1394" s="315"/>
      <c r="O1394" s="315"/>
      <c r="P1394" s="315"/>
      <c r="Q1394" s="315"/>
      <c r="R1394" s="315"/>
      <c r="S1394" s="315"/>
      <c r="T1394" s="315"/>
      <c r="U1394" s="315"/>
      <c r="V1394" s="315"/>
      <c r="W1394" s="315"/>
      <c r="X1394" s="315"/>
      <c r="Y1394" s="315"/>
      <c r="Z1394" s="315"/>
      <c r="AA1394" s="315"/>
    </row>
    <row r="1395" spans="1:27" s="303" customFormat="1" ht="16">
      <c r="A1395" s="315"/>
      <c r="B1395" s="315" t="s">
        <v>69</v>
      </c>
      <c r="C1395" s="315"/>
      <c r="D1395" s="369">
        <f>SUM(D1391:D1394)</f>
        <v>37000</v>
      </c>
      <c r="E1395" s="315"/>
      <c r="F1395" s="315"/>
      <c r="G1395" s="315"/>
      <c r="H1395" s="315"/>
      <c r="I1395" s="315"/>
      <c r="J1395" s="315"/>
      <c r="K1395" s="315"/>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40" t="s">
        <v>814</v>
      </c>
      <c r="B1397" s="340"/>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15" t="s">
        <v>815</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B1400" s="304" t="s">
        <v>816</v>
      </c>
      <c r="C1400" s="306"/>
      <c r="D1400" s="373">
        <v>31000</v>
      </c>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B1401" s="304" t="s">
        <v>817</v>
      </c>
      <c r="C1401" s="306"/>
      <c r="D1401" s="373">
        <v>12000</v>
      </c>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B1402" s="304" t="s">
        <v>818</v>
      </c>
      <c r="C1402" s="306"/>
      <c r="D1402" s="373">
        <v>9000</v>
      </c>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B1403" s="304" t="s">
        <v>819</v>
      </c>
      <c r="C1403" s="306"/>
      <c r="D1403" s="373">
        <v>23000</v>
      </c>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B1404" s="304" t="s">
        <v>735</v>
      </c>
      <c r="C1404" s="306"/>
      <c r="D1404" s="373">
        <v>11000</v>
      </c>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B1405" s="304" t="s">
        <v>556</v>
      </c>
      <c r="C1405" s="306"/>
      <c r="D1405" s="373">
        <v>12000</v>
      </c>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15"/>
      <c r="B1406" s="315" t="s">
        <v>816</v>
      </c>
      <c r="C1406" s="315"/>
      <c r="D1406" s="369">
        <f>SUM(D1400:D1405)</f>
        <v>98000</v>
      </c>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15"/>
      <c r="B1407" s="315"/>
      <c r="C1407" s="315"/>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21">
      <c r="A1408" s="374" t="s">
        <v>820</v>
      </c>
      <c r="B1408" s="315"/>
      <c r="C1408" s="315"/>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15"/>
      <c r="B1409" s="315"/>
      <c r="C1409" s="315"/>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15" t="s">
        <v>821</v>
      </c>
      <c r="B1410" s="315"/>
      <c r="C1410" s="315"/>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15" t="s">
        <v>822</v>
      </c>
      <c r="B1411" s="315"/>
      <c r="C1411" s="315"/>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15" t="s">
        <v>823</v>
      </c>
      <c r="B1412" s="315"/>
      <c r="C1412" s="315"/>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15" t="s">
        <v>824</v>
      </c>
      <c r="B1413" s="315"/>
      <c r="C1413" s="315"/>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15"/>
      <c r="B1414" s="315"/>
      <c r="C1414" s="315"/>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15"/>
      <c r="B1415" s="315"/>
      <c r="C1415" s="315"/>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15"/>
      <c r="B1416" s="315"/>
      <c r="C1416" s="315"/>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15" t="s">
        <v>1986</v>
      </c>
      <c r="B1417" s="315"/>
      <c r="C1417" s="315"/>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15"/>
      <c r="B1418" s="315"/>
      <c r="C1418" s="315"/>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15" t="s">
        <v>1987</v>
      </c>
      <c r="B1419" s="315"/>
      <c r="C1419" s="315"/>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15"/>
      <c r="B1420" s="315" t="s">
        <v>1988</v>
      </c>
      <c r="C1420" s="315"/>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15"/>
      <c r="B1421" s="315"/>
      <c r="C1421" s="315"/>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15" t="s">
        <v>1989</v>
      </c>
      <c r="B1422" s="315"/>
      <c r="C1422" s="315"/>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15"/>
      <c r="B1423" s="315" t="s">
        <v>1990</v>
      </c>
      <c r="C1423" s="315"/>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15"/>
      <c r="B1424" s="315"/>
      <c r="C1424" s="315"/>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15" t="s">
        <v>1991</v>
      </c>
      <c r="B1425" s="315"/>
      <c r="C1425" s="315"/>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15"/>
      <c r="B1426" s="315" t="s">
        <v>1992</v>
      </c>
      <c r="C1426" s="315"/>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15"/>
      <c r="B1427" s="315" t="s">
        <v>1993</v>
      </c>
      <c r="C1427" s="315"/>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15"/>
      <c r="B1428" s="315"/>
      <c r="C1428" s="315"/>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15" t="s">
        <v>1994</v>
      </c>
      <c r="B1429" s="315"/>
      <c r="C1429" s="315"/>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15"/>
      <c r="B1430" s="315" t="s">
        <v>1995</v>
      </c>
      <c r="C1430" s="315"/>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15"/>
      <c r="B1431" s="315"/>
      <c r="C1431" s="315"/>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15" t="s">
        <v>1996</v>
      </c>
      <c r="B1432" s="315"/>
      <c r="C1432" s="315"/>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15"/>
      <c r="B1433" s="315" t="s">
        <v>1997</v>
      </c>
      <c r="C1433" s="315"/>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15"/>
      <c r="B1434" s="315"/>
      <c r="C1434" s="315"/>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15" t="s">
        <v>1998</v>
      </c>
      <c r="B1435" s="315"/>
      <c r="C1435" s="315"/>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15"/>
      <c r="B1436" s="315" t="s">
        <v>1999</v>
      </c>
      <c r="C1436" s="315"/>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15"/>
      <c r="B1437" s="315"/>
      <c r="C1437" s="315"/>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15" t="s">
        <v>2000</v>
      </c>
      <c r="B1438" s="315"/>
      <c r="C1438" s="315"/>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t="s">
        <v>2001</v>
      </c>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t="s">
        <v>2002</v>
      </c>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t="s">
        <v>2003</v>
      </c>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t="s">
        <v>2004</v>
      </c>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t="s">
        <v>2005</v>
      </c>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16">
      <c r="A1446" s="315"/>
      <c r="B1446" s="315"/>
      <c r="C1446" s="315"/>
      <c r="D1446" s="315"/>
      <c r="E1446" s="315"/>
      <c r="F1446" s="315"/>
      <c r="G1446" s="315"/>
      <c r="H1446" s="315"/>
      <c r="I1446" s="315"/>
      <c r="J1446" s="315"/>
      <c r="K1446" s="315"/>
      <c r="L1446" s="315"/>
      <c r="M1446" s="315"/>
      <c r="N1446" s="315"/>
      <c r="O1446" s="315"/>
      <c r="P1446" s="315"/>
      <c r="Q1446" s="315"/>
      <c r="R1446" s="315"/>
      <c r="S1446" s="315"/>
      <c r="T1446" s="315"/>
      <c r="U1446" s="315"/>
      <c r="V1446" s="315"/>
      <c r="W1446" s="315"/>
      <c r="X1446" s="315"/>
      <c r="Y1446" s="315"/>
      <c r="Z1446" s="315"/>
      <c r="AA1446" s="315"/>
    </row>
    <row r="1447" spans="1:27" s="303" customFormat="1" ht="16">
      <c r="A1447" s="315" t="s">
        <v>2006</v>
      </c>
      <c r="B1447" s="315"/>
      <c r="C1447" s="315"/>
      <c r="D1447" s="315"/>
      <c r="E1447" s="315"/>
      <c r="F1447" s="315"/>
      <c r="G1447" s="315"/>
      <c r="H1447" s="315"/>
      <c r="I1447" s="315"/>
      <c r="J1447" s="315"/>
      <c r="K1447" s="315"/>
      <c r="L1447" s="315"/>
      <c r="M1447" s="315"/>
      <c r="N1447" s="315"/>
      <c r="O1447" s="315"/>
      <c r="P1447" s="315"/>
      <c r="Q1447" s="315"/>
      <c r="R1447" s="315"/>
      <c r="S1447" s="315"/>
      <c r="T1447" s="315"/>
      <c r="U1447" s="315"/>
      <c r="V1447" s="315"/>
      <c r="W1447" s="315"/>
      <c r="X1447" s="315"/>
      <c r="Y1447" s="315"/>
      <c r="Z1447" s="315"/>
      <c r="AA1447" s="315"/>
    </row>
    <row r="1448" spans="1:27" s="303" customFormat="1" ht="16">
      <c r="A1448" s="315"/>
      <c r="B1448" s="315" t="s">
        <v>1995</v>
      </c>
      <c r="C1448" s="315"/>
      <c r="D1448" s="315"/>
      <c r="E1448" s="315"/>
      <c r="F1448" s="315"/>
      <c r="G1448" s="315"/>
      <c r="H1448" s="315"/>
      <c r="I1448" s="315"/>
      <c r="J1448" s="315"/>
      <c r="K1448" s="315"/>
      <c r="L1448" s="315"/>
      <c r="M1448" s="315"/>
      <c r="N1448" s="315"/>
      <c r="O1448" s="315"/>
      <c r="P1448" s="315"/>
      <c r="Q1448" s="315"/>
      <c r="R1448" s="315"/>
      <c r="S1448" s="315"/>
      <c r="T1448" s="315"/>
      <c r="U1448" s="315"/>
      <c r="V1448" s="315"/>
      <c r="W1448" s="315"/>
      <c r="X1448" s="315"/>
      <c r="Y1448" s="315"/>
      <c r="Z1448" s="315"/>
      <c r="AA1448" s="315"/>
    </row>
    <row r="1449" spans="1:27" s="303" customFormat="1" ht="16">
      <c r="A1449" s="315"/>
      <c r="B1449" s="315"/>
      <c r="C1449" s="315"/>
      <c r="D1449" s="315"/>
      <c r="E1449" s="315"/>
      <c r="F1449" s="315"/>
      <c r="G1449" s="315"/>
      <c r="H1449" s="315"/>
      <c r="I1449" s="315"/>
      <c r="J1449" s="315"/>
      <c r="K1449" s="315"/>
      <c r="L1449" s="315"/>
      <c r="M1449" s="315"/>
      <c r="N1449" s="315"/>
      <c r="O1449" s="315"/>
      <c r="P1449" s="315"/>
      <c r="Q1449" s="315"/>
      <c r="R1449" s="315"/>
      <c r="S1449" s="315"/>
      <c r="T1449" s="315"/>
      <c r="U1449" s="315"/>
      <c r="V1449" s="315"/>
      <c r="W1449" s="315"/>
      <c r="X1449" s="315"/>
      <c r="Y1449" s="315"/>
      <c r="Z1449" s="315"/>
      <c r="AA1449" s="315"/>
    </row>
    <row r="1450" spans="1:27" s="303" customFormat="1" ht="16">
      <c r="A1450" s="315" t="s">
        <v>2007</v>
      </c>
      <c r="B1450" s="315"/>
      <c r="C1450" s="315"/>
      <c r="D1450" s="315"/>
      <c r="E1450" s="315"/>
      <c r="F1450" s="315"/>
      <c r="G1450" s="315"/>
      <c r="H1450" s="315"/>
      <c r="I1450" s="315"/>
      <c r="J1450" s="315"/>
      <c r="K1450" s="315"/>
      <c r="L1450" s="315"/>
      <c r="M1450" s="315"/>
      <c r="N1450" s="315"/>
      <c r="O1450" s="315"/>
      <c r="P1450" s="315"/>
      <c r="Q1450" s="315"/>
      <c r="R1450" s="315"/>
      <c r="S1450" s="315"/>
      <c r="T1450" s="315"/>
      <c r="U1450" s="315"/>
      <c r="V1450" s="315"/>
      <c r="W1450" s="315"/>
      <c r="X1450" s="315"/>
      <c r="Y1450" s="315"/>
      <c r="Z1450" s="315"/>
      <c r="AA1450" s="315"/>
    </row>
    <row r="1451" spans="1:27" s="303" customFormat="1" ht="16">
      <c r="A1451" s="315"/>
      <c r="B1451" s="315" t="s">
        <v>2008</v>
      </c>
      <c r="C1451" s="315"/>
      <c r="D1451" s="315"/>
      <c r="E1451" s="315"/>
      <c r="F1451" s="315"/>
      <c r="G1451" s="315"/>
      <c r="H1451" s="315"/>
      <c r="I1451" s="315"/>
      <c r="J1451" s="315"/>
      <c r="K1451" s="315"/>
      <c r="L1451" s="315"/>
      <c r="M1451" s="315"/>
      <c r="N1451" s="315"/>
      <c r="O1451" s="315"/>
      <c r="P1451" s="315"/>
      <c r="Q1451" s="315"/>
      <c r="R1451" s="315"/>
      <c r="S1451" s="315"/>
      <c r="T1451" s="315"/>
      <c r="U1451" s="315"/>
      <c r="V1451" s="315"/>
      <c r="W1451" s="315"/>
      <c r="X1451" s="315"/>
      <c r="Y1451" s="315"/>
      <c r="Z1451" s="315"/>
      <c r="AA1451" s="315"/>
    </row>
    <row r="1452" spans="1:27" s="303" customFormat="1" ht="16">
      <c r="A1452" s="315"/>
      <c r="B1452" s="315"/>
      <c r="C1452" s="315"/>
      <c r="D1452" s="315"/>
      <c r="E1452" s="315"/>
      <c r="F1452" s="315"/>
      <c r="G1452" s="315"/>
      <c r="H1452" s="315"/>
      <c r="I1452" s="315"/>
      <c r="J1452" s="315"/>
      <c r="K1452" s="315"/>
      <c r="L1452" s="315"/>
      <c r="M1452" s="315"/>
      <c r="N1452" s="315"/>
      <c r="O1452" s="315"/>
      <c r="P1452" s="315"/>
      <c r="Q1452" s="315"/>
      <c r="R1452" s="315"/>
      <c r="S1452" s="315"/>
      <c r="T1452" s="315"/>
      <c r="U1452" s="315"/>
      <c r="V1452" s="315"/>
      <c r="W1452" s="315"/>
      <c r="X1452" s="315"/>
      <c r="Y1452" s="315"/>
      <c r="Z1452" s="315"/>
      <c r="AA1452" s="315"/>
    </row>
    <row r="1453" spans="1:27" s="303" customFormat="1" ht="16">
      <c r="A1453" s="315" t="s">
        <v>2009</v>
      </c>
      <c r="B1453" s="315"/>
      <c r="C1453" s="315"/>
      <c r="D1453" s="315"/>
      <c r="E1453" s="315"/>
      <c r="F1453" s="315"/>
      <c r="G1453" s="315"/>
      <c r="H1453" s="315"/>
      <c r="I1453" s="315"/>
      <c r="J1453" s="315"/>
      <c r="K1453" s="315"/>
      <c r="L1453" s="315"/>
      <c r="M1453" s="315"/>
      <c r="N1453" s="315"/>
      <c r="O1453" s="315"/>
      <c r="P1453" s="315"/>
      <c r="Q1453" s="315"/>
      <c r="R1453" s="315"/>
      <c r="S1453" s="315"/>
      <c r="T1453" s="315"/>
      <c r="U1453" s="315"/>
      <c r="V1453" s="315"/>
      <c r="W1453" s="315"/>
      <c r="X1453" s="315"/>
      <c r="Y1453" s="315"/>
      <c r="Z1453" s="315"/>
      <c r="AA1453" s="315"/>
    </row>
    <row r="1454" spans="1:27" s="303" customFormat="1" ht="16">
      <c r="A1454" s="315"/>
      <c r="B1454" s="315" t="s">
        <v>2010</v>
      </c>
      <c r="C1454" s="315"/>
      <c r="D1454" s="315"/>
      <c r="E1454" s="315"/>
      <c r="F1454" s="315"/>
      <c r="G1454" s="315"/>
      <c r="H1454" s="315"/>
      <c r="I1454" s="315"/>
      <c r="J1454" s="315"/>
      <c r="K1454" s="315"/>
      <c r="L1454" s="315"/>
      <c r="M1454" s="315"/>
      <c r="N1454" s="315"/>
      <c r="O1454" s="315"/>
      <c r="P1454" s="315"/>
      <c r="Q1454" s="315"/>
      <c r="R1454" s="315"/>
      <c r="S1454" s="315"/>
      <c r="T1454" s="315"/>
      <c r="U1454" s="315"/>
      <c r="V1454" s="315"/>
      <c r="W1454" s="315"/>
      <c r="X1454" s="315"/>
      <c r="Y1454" s="315"/>
      <c r="Z1454" s="315"/>
      <c r="AA1454" s="315"/>
    </row>
    <row r="1455" spans="1:27" s="303" customFormat="1" ht="16">
      <c r="A1455" s="315"/>
      <c r="B1455" s="315"/>
      <c r="C1455" s="315"/>
      <c r="D1455" s="315"/>
      <c r="E1455" s="315"/>
      <c r="F1455" s="315"/>
      <c r="G1455" s="315"/>
      <c r="H1455" s="315"/>
      <c r="I1455" s="315"/>
      <c r="J1455" s="315"/>
      <c r="K1455" s="315"/>
      <c r="L1455" s="315"/>
      <c r="M1455" s="315"/>
      <c r="N1455" s="315"/>
      <c r="O1455" s="315"/>
      <c r="P1455" s="315"/>
      <c r="Q1455" s="315"/>
      <c r="R1455" s="315"/>
      <c r="S1455" s="315"/>
      <c r="T1455" s="315"/>
      <c r="U1455" s="315"/>
      <c r="V1455" s="315"/>
      <c r="W1455" s="315"/>
      <c r="X1455" s="315"/>
      <c r="Y1455" s="315"/>
      <c r="Z1455" s="315"/>
      <c r="AA1455" s="315"/>
    </row>
    <row r="1456" spans="1:27" s="303" customFormat="1" ht="16">
      <c r="A1456" s="315"/>
      <c r="B1456" s="315"/>
      <c r="C1456" s="315"/>
      <c r="D1456" s="315"/>
      <c r="E1456" s="315"/>
      <c r="F1456" s="315"/>
      <c r="G1456" s="315"/>
      <c r="H1456" s="315"/>
      <c r="I1456" s="315"/>
      <c r="J1456" s="315"/>
      <c r="K1456" s="315"/>
      <c r="L1456" s="315"/>
      <c r="M1456" s="315"/>
      <c r="N1456" s="315"/>
      <c r="O1456" s="315"/>
      <c r="P1456" s="315"/>
      <c r="Q1456" s="315"/>
      <c r="R1456" s="315"/>
      <c r="S1456" s="315"/>
      <c r="T1456" s="315"/>
      <c r="U1456" s="315"/>
      <c r="V1456" s="315"/>
      <c r="W1456" s="315"/>
      <c r="X1456" s="315"/>
      <c r="Y1456" s="315"/>
      <c r="Z1456" s="315"/>
      <c r="AA1456" s="315"/>
    </row>
    <row r="1457" spans="1:27" s="303" customFormat="1" ht="16">
      <c r="A1457" s="315"/>
      <c r="B1457" s="315"/>
      <c r="C1457" s="315"/>
      <c r="D1457" s="315"/>
      <c r="E1457" s="315"/>
      <c r="F1457" s="315"/>
      <c r="G1457" s="315"/>
      <c r="H1457" s="315"/>
      <c r="I1457" s="315"/>
      <c r="J1457" s="315"/>
      <c r="K1457" s="315"/>
      <c r="L1457" s="315"/>
      <c r="M1457" s="315"/>
      <c r="N1457" s="315"/>
      <c r="O1457" s="315"/>
      <c r="P1457" s="315"/>
      <c r="Q1457" s="315"/>
      <c r="R1457" s="315"/>
      <c r="S1457" s="315"/>
      <c r="T1457" s="315"/>
      <c r="U1457" s="315"/>
      <c r="V1457" s="315"/>
      <c r="W1457" s="315"/>
      <c r="X1457" s="315"/>
      <c r="Y1457" s="315"/>
      <c r="Z1457" s="315"/>
      <c r="AA1457" s="315"/>
    </row>
    <row r="1458" spans="1:27" s="303" customFormat="1" ht="16">
      <c r="A1458" s="315"/>
      <c r="B1458" s="315"/>
      <c r="C1458" s="315"/>
      <c r="D1458" s="315"/>
      <c r="E1458" s="315"/>
      <c r="F1458" s="315"/>
      <c r="G1458" s="315"/>
      <c r="H1458" s="315"/>
      <c r="I1458" s="315"/>
      <c r="J1458" s="315"/>
      <c r="K1458" s="315"/>
      <c r="L1458" s="315"/>
      <c r="M1458" s="315"/>
      <c r="N1458" s="315"/>
      <c r="O1458" s="315"/>
      <c r="P1458" s="315"/>
      <c r="Q1458" s="315"/>
      <c r="R1458" s="315"/>
      <c r="S1458" s="315"/>
      <c r="T1458" s="315"/>
      <c r="U1458" s="315"/>
      <c r="V1458" s="315"/>
      <c r="W1458" s="315"/>
      <c r="X1458" s="315"/>
      <c r="Y1458" s="315"/>
      <c r="Z1458" s="315"/>
      <c r="AA1458" s="315"/>
    </row>
    <row r="1459" spans="1:27" s="303" customFormat="1" ht="16">
      <c r="A1459" s="315"/>
      <c r="B1459" s="315"/>
      <c r="C1459" s="315"/>
      <c r="D1459" s="315"/>
      <c r="E1459" s="315"/>
      <c r="F1459" s="315"/>
      <c r="G1459" s="315"/>
      <c r="H1459" s="315"/>
      <c r="I1459" s="315"/>
      <c r="J1459" s="315"/>
      <c r="K1459" s="315"/>
      <c r="L1459" s="315"/>
      <c r="M1459" s="315"/>
      <c r="N1459" s="315"/>
      <c r="O1459" s="315"/>
      <c r="P1459" s="315"/>
      <c r="Q1459" s="315"/>
      <c r="R1459" s="315"/>
      <c r="S1459" s="315"/>
      <c r="T1459" s="315"/>
      <c r="U1459" s="315"/>
      <c r="V1459" s="315"/>
      <c r="W1459" s="315"/>
      <c r="X1459" s="315"/>
      <c r="Y1459" s="315"/>
      <c r="Z1459" s="315"/>
      <c r="AA1459" s="315"/>
    </row>
    <row r="1460" spans="1:27" s="303" customFormat="1" ht="16">
      <c r="A1460" s="315"/>
      <c r="B1460" s="315"/>
      <c r="C1460" s="315"/>
      <c r="D1460" s="315"/>
      <c r="E1460" s="315"/>
      <c r="F1460" s="315"/>
      <c r="G1460" s="315"/>
      <c r="H1460" s="315"/>
      <c r="I1460" s="315"/>
      <c r="J1460" s="315"/>
      <c r="K1460" s="315"/>
      <c r="L1460" s="315"/>
      <c r="M1460" s="315"/>
      <c r="N1460" s="315"/>
      <c r="O1460" s="315"/>
      <c r="P1460" s="315"/>
      <c r="Q1460" s="315"/>
      <c r="R1460" s="315"/>
      <c r="S1460" s="315"/>
      <c r="T1460" s="315"/>
      <c r="U1460" s="315"/>
      <c r="V1460" s="315"/>
      <c r="W1460" s="315"/>
      <c r="X1460" s="315"/>
      <c r="Y1460" s="315"/>
      <c r="Z1460" s="315"/>
      <c r="AA1460" s="315"/>
    </row>
    <row r="1461" spans="1:27" s="303" customFormat="1" ht="16">
      <c r="A1461" s="315"/>
      <c r="B1461" s="315"/>
      <c r="C1461" s="315"/>
      <c r="D1461" s="315"/>
      <c r="E1461" s="315"/>
      <c r="F1461" s="315"/>
      <c r="G1461" s="315"/>
      <c r="H1461" s="315"/>
      <c r="I1461" s="315"/>
      <c r="J1461" s="315"/>
      <c r="K1461" s="315"/>
      <c r="L1461" s="315"/>
      <c r="M1461" s="315"/>
      <c r="N1461" s="315"/>
      <c r="O1461" s="315"/>
      <c r="P1461" s="315"/>
      <c r="Q1461" s="315"/>
      <c r="R1461" s="315"/>
      <c r="S1461" s="315"/>
      <c r="T1461" s="315"/>
      <c r="U1461" s="315"/>
      <c r="V1461" s="315"/>
      <c r="W1461" s="315"/>
      <c r="X1461" s="315"/>
      <c r="Y1461" s="315"/>
      <c r="Z1461" s="315"/>
      <c r="AA1461" s="315"/>
    </row>
    <row r="1462" spans="1:27" s="303" customFormat="1" ht="16">
      <c r="A1462" s="315"/>
      <c r="B1462" s="315"/>
      <c r="C1462" s="315"/>
      <c r="D1462" s="315"/>
      <c r="E1462" s="315"/>
      <c r="F1462" s="315"/>
      <c r="G1462" s="315"/>
      <c r="H1462" s="315"/>
      <c r="I1462" s="315"/>
      <c r="J1462" s="315"/>
      <c r="K1462" s="315"/>
      <c r="L1462" s="315"/>
      <c r="M1462" s="315"/>
      <c r="N1462" s="315"/>
      <c r="O1462" s="315"/>
      <c r="P1462" s="315"/>
      <c r="Q1462" s="315"/>
      <c r="R1462" s="315"/>
      <c r="S1462" s="315"/>
      <c r="T1462" s="315"/>
      <c r="U1462" s="315"/>
      <c r="V1462" s="315"/>
      <c r="W1462" s="315"/>
      <c r="X1462" s="315"/>
      <c r="Y1462" s="315"/>
      <c r="Z1462" s="315"/>
      <c r="AA1462" s="315"/>
    </row>
    <row r="1463" spans="1:27" s="303" customFormat="1" ht="16">
      <c r="A1463" s="315"/>
      <c r="B1463" s="315"/>
      <c r="C1463" s="315"/>
      <c r="D1463" s="315"/>
      <c r="E1463" s="315"/>
      <c r="F1463" s="315"/>
      <c r="G1463" s="315"/>
      <c r="H1463" s="315"/>
      <c r="I1463" s="315"/>
      <c r="J1463" s="315"/>
      <c r="K1463" s="315"/>
      <c r="L1463" s="315"/>
      <c r="M1463" s="315"/>
      <c r="N1463" s="315"/>
      <c r="O1463" s="315"/>
      <c r="P1463" s="315"/>
      <c r="Q1463" s="315"/>
      <c r="R1463" s="315"/>
      <c r="S1463" s="315"/>
      <c r="T1463" s="315"/>
      <c r="U1463" s="315"/>
      <c r="V1463" s="315"/>
      <c r="W1463" s="315"/>
      <c r="X1463" s="315"/>
      <c r="Y1463" s="315"/>
      <c r="Z1463" s="315"/>
      <c r="AA1463" s="315"/>
    </row>
    <row r="1464" spans="1:27" s="303" customFormat="1" ht="16">
      <c r="A1464" s="675" t="s">
        <v>825</v>
      </c>
      <c r="B1464" s="676"/>
      <c r="C1464" s="676"/>
      <c r="D1464" s="676"/>
      <c r="E1464" s="676"/>
      <c r="F1464" s="676"/>
      <c r="G1464" s="676"/>
      <c r="H1464" s="676"/>
      <c r="I1464" s="676"/>
      <c r="J1464" s="676"/>
      <c r="K1464" s="676"/>
      <c r="L1464" s="676"/>
      <c r="M1464" s="676"/>
      <c r="N1464" s="304"/>
      <c r="O1464" s="304"/>
      <c r="P1464" s="304"/>
      <c r="Q1464" s="304"/>
      <c r="R1464" s="304"/>
      <c r="S1464" s="304"/>
      <c r="T1464" s="304"/>
      <c r="U1464" s="304"/>
      <c r="V1464" s="304"/>
      <c r="W1464" s="304"/>
      <c r="X1464" s="304"/>
      <c r="Y1464" s="304"/>
      <c r="Z1464" s="304"/>
      <c r="AA1464" s="304"/>
    </row>
    <row r="1465" spans="1:27" s="303" customFormat="1" ht="16">
      <c r="A1465" s="315"/>
      <c r="B1465" s="315"/>
      <c r="C1465" s="315"/>
      <c r="D1465" s="315"/>
      <c r="E1465" s="315"/>
      <c r="F1465" s="315"/>
      <c r="G1465" s="315"/>
      <c r="H1465" s="315"/>
      <c r="I1465" s="315"/>
      <c r="J1465" s="315"/>
      <c r="K1465" s="315"/>
      <c r="L1465" s="315"/>
      <c r="M1465" s="315"/>
      <c r="N1465" s="315"/>
      <c r="O1465" s="315"/>
      <c r="P1465" s="315"/>
      <c r="Q1465" s="315"/>
      <c r="R1465" s="315"/>
      <c r="S1465" s="315"/>
      <c r="T1465" s="315"/>
      <c r="U1465" s="315"/>
      <c r="V1465" s="315"/>
      <c r="W1465" s="315"/>
      <c r="X1465" s="315"/>
      <c r="Y1465" s="315"/>
      <c r="Z1465" s="315"/>
      <c r="AA1465" s="315"/>
    </row>
    <row r="1466" spans="1:27" s="303" customFormat="1" ht="17" thickBot="1">
      <c r="A1466" s="342" t="s">
        <v>826</v>
      </c>
      <c r="B1466" s="315"/>
      <c r="C1466" s="315"/>
      <c r="D1466" s="315"/>
      <c r="E1466" s="315"/>
      <c r="F1466" s="315"/>
      <c r="G1466" s="315"/>
      <c r="H1466" s="315"/>
      <c r="I1466" s="315"/>
      <c r="J1466" s="315"/>
      <c r="K1466" s="315"/>
      <c r="L1466" s="315"/>
      <c r="M1466" s="315"/>
      <c r="N1466" s="315"/>
      <c r="O1466" s="315"/>
      <c r="P1466" s="315"/>
      <c r="Q1466" s="315"/>
      <c r="R1466" s="315"/>
      <c r="S1466" s="315"/>
      <c r="T1466" s="315"/>
      <c r="U1466" s="315"/>
      <c r="V1466" s="315"/>
      <c r="W1466" s="315"/>
      <c r="X1466" s="315"/>
      <c r="Y1466" s="315"/>
      <c r="Z1466" s="315"/>
      <c r="AA1466" s="315"/>
    </row>
    <row r="1467" spans="1:27" s="303" customFormat="1" ht="16">
      <c r="A1467" s="375" t="s">
        <v>827</v>
      </c>
      <c r="B1467" s="376"/>
      <c r="C1467" s="376"/>
      <c r="D1467" s="376"/>
      <c r="E1467" s="376"/>
      <c r="F1467" s="376"/>
      <c r="G1467" s="376"/>
      <c r="H1467" s="376"/>
      <c r="I1467" s="376"/>
      <c r="J1467" s="376"/>
      <c r="K1467" s="377"/>
      <c r="L1467" s="315"/>
      <c r="M1467" s="315"/>
      <c r="N1467" s="315"/>
      <c r="O1467" s="315"/>
      <c r="P1467" s="315"/>
      <c r="Q1467" s="315"/>
      <c r="R1467" s="315"/>
      <c r="S1467" s="315"/>
      <c r="T1467" s="315"/>
      <c r="U1467" s="315"/>
      <c r="V1467" s="315"/>
      <c r="W1467" s="315"/>
      <c r="X1467" s="315"/>
      <c r="Y1467" s="315"/>
      <c r="Z1467" s="315"/>
      <c r="AA1467" s="315"/>
    </row>
    <row r="1468" spans="1:27" s="303" customFormat="1" ht="16">
      <c r="A1468" s="378"/>
      <c r="B1468" s="315" t="s">
        <v>828</v>
      </c>
      <c r="C1468" s="315"/>
      <c r="D1468" s="315"/>
      <c r="E1468" s="315"/>
      <c r="F1468" s="315"/>
      <c r="G1468" s="315"/>
      <c r="H1468" s="315"/>
      <c r="I1468" s="315"/>
      <c r="J1468" s="315"/>
      <c r="K1468" s="379"/>
      <c r="L1468" s="315"/>
      <c r="M1468" s="315"/>
      <c r="N1468" s="315"/>
      <c r="O1468" s="315"/>
      <c r="P1468" s="315"/>
      <c r="Q1468" s="315"/>
      <c r="R1468" s="315"/>
      <c r="S1468" s="315"/>
      <c r="T1468" s="315"/>
      <c r="U1468" s="315"/>
      <c r="V1468" s="315"/>
      <c r="W1468" s="315"/>
      <c r="X1468" s="315"/>
      <c r="Y1468" s="315"/>
      <c r="Z1468" s="315"/>
      <c r="AA1468" s="315"/>
    </row>
    <row r="1469" spans="1:27" s="303" customFormat="1" ht="16">
      <c r="A1469" s="378"/>
      <c r="B1469" s="315" t="s">
        <v>829</v>
      </c>
      <c r="C1469" s="315"/>
      <c r="D1469" s="315"/>
      <c r="E1469" s="315"/>
      <c r="F1469" s="315"/>
      <c r="G1469" s="315"/>
      <c r="H1469" s="315"/>
      <c r="I1469" s="315"/>
      <c r="J1469" s="315"/>
      <c r="K1469" s="379"/>
      <c r="L1469" s="315"/>
      <c r="M1469" s="315"/>
      <c r="N1469" s="315"/>
      <c r="O1469" s="315"/>
      <c r="P1469" s="315"/>
      <c r="Q1469" s="315"/>
      <c r="R1469" s="315"/>
      <c r="S1469" s="315"/>
      <c r="T1469" s="315"/>
      <c r="U1469" s="315"/>
      <c r="V1469" s="315"/>
      <c r="W1469" s="315"/>
      <c r="X1469" s="315"/>
      <c r="Y1469" s="315"/>
      <c r="Z1469" s="315"/>
      <c r="AA1469" s="315"/>
    </row>
    <row r="1470" spans="1:27" s="303" customFormat="1" ht="16">
      <c r="A1470" s="378"/>
      <c r="B1470" s="315" t="s">
        <v>830</v>
      </c>
      <c r="C1470" s="315"/>
      <c r="D1470" s="315"/>
      <c r="E1470" s="315"/>
      <c r="F1470" s="315"/>
      <c r="G1470" s="315"/>
      <c r="H1470" s="315"/>
      <c r="I1470" s="315"/>
      <c r="J1470" s="315"/>
      <c r="K1470" s="379"/>
      <c r="L1470" s="315"/>
      <c r="M1470" s="315"/>
      <c r="N1470" s="315"/>
      <c r="O1470" s="315"/>
      <c r="P1470" s="315"/>
      <c r="Q1470" s="315"/>
      <c r="R1470" s="315"/>
      <c r="S1470" s="315"/>
      <c r="T1470" s="315"/>
      <c r="U1470" s="315"/>
      <c r="V1470" s="315"/>
      <c r="W1470" s="315"/>
      <c r="X1470" s="315"/>
      <c r="Y1470" s="315"/>
      <c r="Z1470" s="315"/>
      <c r="AA1470" s="315"/>
    </row>
    <row r="1471" spans="1:27" s="303" customFormat="1" ht="16">
      <c r="A1471" s="378"/>
      <c r="B1471" s="315"/>
      <c r="C1471" s="315"/>
      <c r="D1471" s="315"/>
      <c r="E1471" s="315"/>
      <c r="F1471" s="315"/>
      <c r="G1471" s="315"/>
      <c r="H1471" s="315"/>
      <c r="I1471" s="315"/>
      <c r="J1471" s="315"/>
      <c r="K1471" s="379"/>
      <c r="L1471" s="315"/>
      <c r="M1471" s="315"/>
      <c r="N1471" s="315"/>
      <c r="O1471" s="315"/>
      <c r="P1471" s="315"/>
      <c r="Q1471" s="315"/>
      <c r="R1471" s="315"/>
      <c r="S1471" s="315"/>
      <c r="T1471" s="315"/>
      <c r="U1471" s="315"/>
      <c r="V1471" s="315"/>
      <c r="W1471" s="315"/>
      <c r="X1471" s="315"/>
      <c r="Y1471" s="315"/>
      <c r="Z1471" s="315"/>
      <c r="AA1471" s="315"/>
    </row>
    <row r="1472" spans="1:27" s="303" customFormat="1" ht="16">
      <c r="A1472" s="378" t="s">
        <v>831</v>
      </c>
      <c r="B1472" s="315"/>
      <c r="C1472" s="315"/>
      <c r="D1472" s="315"/>
      <c r="E1472" s="315"/>
      <c r="F1472" s="315"/>
      <c r="G1472" s="315"/>
      <c r="H1472" s="315"/>
      <c r="I1472" s="315"/>
      <c r="J1472" s="315"/>
      <c r="K1472" s="379"/>
      <c r="L1472" s="315"/>
      <c r="M1472" s="315"/>
      <c r="N1472" s="315"/>
      <c r="O1472" s="315"/>
      <c r="P1472" s="315"/>
      <c r="Q1472" s="315"/>
      <c r="R1472" s="315"/>
      <c r="S1472" s="315"/>
      <c r="T1472" s="315"/>
      <c r="U1472" s="315"/>
      <c r="V1472" s="315"/>
      <c r="W1472" s="315"/>
      <c r="X1472" s="315"/>
      <c r="Y1472" s="315"/>
      <c r="Z1472" s="315"/>
      <c r="AA1472" s="315"/>
    </row>
    <row r="1473" spans="1:27" s="303" customFormat="1" ht="16">
      <c r="A1473" s="378" t="s">
        <v>832</v>
      </c>
      <c r="B1473" s="315"/>
      <c r="C1473" s="315"/>
      <c r="D1473" s="315"/>
      <c r="E1473" s="315"/>
      <c r="F1473" s="315"/>
      <c r="G1473" s="315"/>
      <c r="H1473" s="315"/>
      <c r="I1473" s="315"/>
      <c r="J1473" s="315"/>
      <c r="K1473" s="379"/>
      <c r="L1473" s="315"/>
      <c r="M1473" s="315"/>
      <c r="N1473" s="315"/>
      <c r="O1473" s="315"/>
      <c r="P1473" s="315"/>
      <c r="Q1473" s="315"/>
      <c r="R1473" s="315"/>
      <c r="S1473" s="315"/>
      <c r="T1473" s="315"/>
      <c r="U1473" s="315"/>
      <c r="V1473" s="315"/>
      <c r="W1473" s="315"/>
      <c r="X1473" s="315"/>
      <c r="Y1473" s="315"/>
      <c r="Z1473" s="315"/>
      <c r="AA1473" s="315"/>
    </row>
    <row r="1474" spans="1:27" s="303" customFormat="1" ht="16">
      <c r="A1474" s="378"/>
      <c r="B1474" s="315"/>
      <c r="C1474" s="315"/>
      <c r="D1474" s="315"/>
      <c r="E1474" s="315"/>
      <c r="F1474" s="315"/>
      <c r="G1474" s="315"/>
      <c r="H1474" s="315"/>
      <c r="I1474" s="315"/>
      <c r="J1474" s="315"/>
      <c r="K1474" s="379"/>
      <c r="L1474" s="315"/>
      <c r="M1474" s="315"/>
      <c r="N1474" s="315"/>
      <c r="O1474" s="315"/>
      <c r="P1474" s="315"/>
      <c r="Q1474" s="315"/>
      <c r="R1474" s="315"/>
      <c r="S1474" s="315"/>
      <c r="T1474" s="315"/>
      <c r="U1474" s="315"/>
      <c r="V1474" s="315"/>
      <c r="W1474" s="315"/>
      <c r="X1474" s="315"/>
      <c r="Y1474" s="315"/>
      <c r="Z1474" s="315"/>
      <c r="AA1474" s="315"/>
    </row>
    <row r="1475" spans="1:27" s="303" customFormat="1" ht="17" thickBot="1">
      <c r="A1475" s="380" t="s">
        <v>833</v>
      </c>
      <c r="B1475" s="381"/>
      <c r="C1475" s="381"/>
      <c r="D1475" s="381"/>
      <c r="E1475" s="381"/>
      <c r="F1475" s="381"/>
      <c r="G1475" s="381"/>
      <c r="H1475" s="381"/>
      <c r="I1475" s="381"/>
      <c r="J1475" s="381"/>
      <c r="K1475" s="382"/>
      <c r="L1475" s="315"/>
      <c r="M1475" s="315"/>
      <c r="N1475" s="315"/>
      <c r="O1475" s="315"/>
      <c r="P1475" s="315"/>
      <c r="Q1475" s="315"/>
      <c r="R1475" s="315"/>
      <c r="S1475" s="315"/>
      <c r="T1475" s="315"/>
      <c r="U1475" s="315"/>
      <c r="V1475" s="315"/>
      <c r="W1475" s="315"/>
      <c r="X1475" s="315"/>
      <c r="Y1475" s="315"/>
      <c r="Z1475" s="315"/>
      <c r="AA1475" s="315"/>
    </row>
    <row r="1476" spans="1:27" s="303" customFormat="1" ht="17" thickBot="1">
      <c r="A1476" s="315"/>
      <c r="B1476" s="315"/>
      <c r="C1476" s="315"/>
      <c r="D1476" s="315"/>
      <c r="E1476" s="315"/>
      <c r="F1476" s="315"/>
      <c r="G1476" s="315"/>
      <c r="H1476" s="315"/>
      <c r="I1476" s="315"/>
      <c r="J1476" s="315"/>
      <c r="K1476" s="315"/>
      <c r="L1476" s="315"/>
      <c r="M1476" s="315"/>
      <c r="N1476" s="315"/>
      <c r="O1476" s="315"/>
      <c r="P1476" s="315"/>
      <c r="Q1476" s="315"/>
      <c r="R1476" s="315"/>
      <c r="S1476" s="315"/>
      <c r="T1476" s="315"/>
      <c r="U1476" s="315"/>
      <c r="V1476" s="315"/>
      <c r="W1476" s="315"/>
      <c r="X1476" s="315"/>
      <c r="Y1476" s="315"/>
      <c r="Z1476" s="315"/>
      <c r="AA1476" s="315"/>
    </row>
    <row r="1477" spans="1:27" s="303" customFormat="1" ht="16">
      <c r="A1477" s="383" t="s">
        <v>834</v>
      </c>
      <c r="B1477" s="376"/>
      <c r="C1477" s="376"/>
      <c r="D1477" s="376"/>
      <c r="E1477" s="376"/>
      <c r="F1477" s="376"/>
      <c r="G1477" s="376"/>
      <c r="H1477" s="376"/>
      <c r="I1477" s="376"/>
      <c r="J1477" s="376"/>
      <c r="K1477" s="377"/>
      <c r="L1477" s="315"/>
      <c r="M1477" s="315"/>
      <c r="N1477" s="315"/>
      <c r="O1477" s="315"/>
      <c r="P1477" s="315"/>
      <c r="Q1477" s="315"/>
      <c r="R1477" s="315"/>
      <c r="S1477" s="315"/>
      <c r="T1477" s="315"/>
      <c r="U1477" s="315"/>
      <c r="V1477" s="315"/>
      <c r="W1477" s="315"/>
      <c r="X1477" s="315"/>
      <c r="Y1477" s="315"/>
      <c r="Z1477" s="315"/>
      <c r="AA1477" s="315"/>
    </row>
    <row r="1478" spans="1:27" s="303" customFormat="1" ht="16">
      <c r="A1478" s="378" t="s">
        <v>835</v>
      </c>
      <c r="B1478" s="315"/>
      <c r="C1478" s="315"/>
      <c r="D1478" s="315"/>
      <c r="E1478" s="315"/>
      <c r="F1478" s="315"/>
      <c r="G1478" s="315"/>
      <c r="H1478" s="315"/>
      <c r="I1478" s="315"/>
      <c r="J1478" s="315"/>
      <c r="K1478" s="379"/>
      <c r="L1478" s="315"/>
      <c r="M1478" s="315"/>
      <c r="N1478" s="315"/>
      <c r="O1478" s="315"/>
      <c r="P1478" s="315"/>
      <c r="Q1478" s="315"/>
      <c r="R1478" s="315"/>
      <c r="S1478" s="315"/>
      <c r="T1478" s="315"/>
      <c r="U1478" s="315"/>
      <c r="V1478" s="315"/>
      <c r="W1478" s="315"/>
      <c r="X1478" s="315"/>
      <c r="Y1478" s="315"/>
      <c r="Z1478" s="315"/>
      <c r="AA1478" s="315"/>
    </row>
    <row r="1479" spans="1:27" s="303" customFormat="1" ht="16">
      <c r="A1479" s="378" t="s">
        <v>836</v>
      </c>
      <c r="B1479" s="315"/>
      <c r="C1479" s="315"/>
      <c r="D1479" s="315"/>
      <c r="E1479" s="315"/>
      <c r="F1479" s="315"/>
      <c r="G1479" s="315"/>
      <c r="H1479" s="315"/>
      <c r="I1479" s="315"/>
      <c r="J1479" s="315"/>
      <c r="K1479" s="379"/>
      <c r="L1479" s="315"/>
      <c r="M1479" s="315"/>
      <c r="N1479" s="315"/>
      <c r="O1479" s="315"/>
      <c r="P1479" s="315"/>
      <c r="Q1479" s="315"/>
      <c r="R1479" s="315"/>
      <c r="S1479" s="315"/>
      <c r="T1479" s="315"/>
      <c r="U1479" s="315"/>
      <c r="V1479" s="315"/>
      <c r="W1479" s="315"/>
      <c r="X1479" s="315"/>
      <c r="Y1479" s="315"/>
      <c r="Z1479" s="315"/>
      <c r="AA1479" s="315"/>
    </row>
    <row r="1480" spans="1:27" s="303" customFormat="1" ht="16">
      <c r="A1480" s="378" t="s">
        <v>837</v>
      </c>
      <c r="B1480" s="315"/>
      <c r="C1480" s="315"/>
      <c r="D1480" s="315"/>
      <c r="E1480" s="315"/>
      <c r="F1480" s="315"/>
      <c r="G1480" s="315"/>
      <c r="H1480" s="315"/>
      <c r="I1480" s="315"/>
      <c r="J1480" s="315"/>
      <c r="K1480" s="379"/>
      <c r="L1480" s="315"/>
      <c r="M1480" s="315"/>
      <c r="N1480" s="315"/>
      <c r="O1480" s="315"/>
      <c r="P1480" s="315"/>
      <c r="Q1480" s="315"/>
      <c r="R1480" s="315"/>
      <c r="S1480" s="315"/>
      <c r="T1480" s="315"/>
      <c r="U1480" s="315"/>
      <c r="V1480" s="315"/>
      <c r="W1480" s="315"/>
      <c r="X1480" s="315"/>
      <c r="Y1480" s="315"/>
      <c r="Z1480" s="315"/>
      <c r="AA1480" s="315"/>
    </row>
    <row r="1481" spans="1:27" s="303" customFormat="1" ht="16">
      <c r="A1481" s="378" t="s">
        <v>838</v>
      </c>
      <c r="B1481" s="315"/>
      <c r="C1481" s="315"/>
      <c r="D1481" s="315"/>
      <c r="E1481" s="315"/>
      <c r="F1481" s="315"/>
      <c r="G1481" s="315"/>
      <c r="H1481" s="315"/>
      <c r="I1481" s="315"/>
      <c r="J1481" s="315"/>
      <c r="K1481" s="379"/>
      <c r="L1481" s="315"/>
      <c r="M1481" s="315"/>
      <c r="N1481" s="315"/>
      <c r="O1481" s="315"/>
      <c r="P1481" s="315"/>
      <c r="Q1481" s="315"/>
      <c r="R1481" s="315"/>
      <c r="S1481" s="315"/>
      <c r="T1481" s="315"/>
      <c r="U1481" s="315"/>
      <c r="V1481" s="315"/>
      <c r="W1481" s="315"/>
      <c r="X1481" s="315"/>
      <c r="Y1481" s="315"/>
      <c r="Z1481" s="315"/>
      <c r="AA1481" s="315"/>
    </row>
    <row r="1482" spans="1:27" s="303" customFormat="1" ht="16">
      <c r="A1482" s="378" t="s">
        <v>839</v>
      </c>
      <c r="B1482" s="315"/>
      <c r="C1482" s="315"/>
      <c r="D1482" s="315"/>
      <c r="E1482" s="315"/>
      <c r="F1482" s="315"/>
      <c r="G1482" s="315"/>
      <c r="H1482" s="315"/>
      <c r="I1482" s="315"/>
      <c r="J1482" s="315"/>
      <c r="K1482" s="379"/>
      <c r="L1482" s="315"/>
      <c r="M1482" s="315"/>
      <c r="N1482" s="315"/>
      <c r="O1482" s="315"/>
      <c r="P1482" s="315"/>
      <c r="Q1482" s="315"/>
      <c r="R1482" s="315"/>
      <c r="S1482" s="315"/>
      <c r="T1482" s="315"/>
      <c r="U1482" s="315"/>
      <c r="V1482" s="315"/>
      <c r="W1482" s="315"/>
      <c r="X1482" s="315"/>
      <c r="Y1482" s="315"/>
      <c r="Z1482" s="315"/>
      <c r="AA1482" s="315"/>
    </row>
    <row r="1483" spans="1:27" s="303" customFormat="1" ht="16">
      <c r="A1483" s="378" t="s">
        <v>840</v>
      </c>
      <c r="B1483" s="315"/>
      <c r="C1483" s="315"/>
      <c r="D1483" s="315"/>
      <c r="E1483" s="315"/>
      <c r="F1483" s="315"/>
      <c r="G1483" s="315"/>
      <c r="H1483" s="315"/>
      <c r="I1483" s="315"/>
      <c r="J1483" s="315"/>
      <c r="K1483" s="379"/>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78"/>
      <c r="B1484" s="315"/>
      <c r="C1484" s="315"/>
      <c r="D1484" s="315"/>
      <c r="E1484" s="315"/>
      <c r="F1484" s="315"/>
      <c r="G1484" s="315"/>
      <c r="H1484" s="315"/>
      <c r="I1484" s="315"/>
      <c r="J1484" s="315"/>
      <c r="K1484" s="379"/>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80" t="s">
        <v>841</v>
      </c>
      <c r="B1485" s="381"/>
      <c r="C1485" s="381"/>
      <c r="D1485" s="381"/>
      <c r="E1485" s="381"/>
      <c r="F1485" s="381"/>
      <c r="G1485" s="381"/>
      <c r="H1485" s="381"/>
      <c r="I1485" s="381"/>
      <c r="J1485" s="381"/>
      <c r="K1485" s="382"/>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15"/>
      <c r="B1486" s="315"/>
      <c r="C1486" s="315"/>
      <c r="D1486" s="315"/>
      <c r="E1486" s="315"/>
      <c r="F1486" s="315"/>
      <c r="G1486" s="315"/>
      <c r="H1486" s="315"/>
      <c r="I1486" s="315"/>
      <c r="J1486" s="315"/>
      <c r="K1486" s="315"/>
      <c r="L1486" s="315"/>
      <c r="M1486" s="315"/>
      <c r="N1486" s="315"/>
      <c r="O1486" s="315"/>
      <c r="P1486" s="315"/>
      <c r="Q1486" s="315"/>
      <c r="R1486" s="315"/>
      <c r="S1486" s="315"/>
      <c r="T1486" s="315"/>
      <c r="U1486" s="315"/>
      <c r="V1486" s="315"/>
      <c r="W1486" s="315"/>
      <c r="X1486" s="315"/>
      <c r="Y1486" s="315"/>
      <c r="Z1486" s="315"/>
      <c r="AA1486" s="315"/>
    </row>
    <row r="1487" spans="1:27" s="303" customFormat="1" ht="16">
      <c r="A1487" s="315"/>
      <c r="B1487" s="315"/>
      <c r="C1487" s="315"/>
      <c r="D1487" s="315"/>
      <c r="E1487" s="315"/>
      <c r="F1487" s="315"/>
      <c r="G1487" s="315"/>
      <c r="H1487" s="315"/>
      <c r="I1487" s="315"/>
      <c r="J1487" s="315"/>
      <c r="K1487" s="315"/>
      <c r="L1487" s="315"/>
      <c r="M1487" s="315"/>
      <c r="N1487" s="315"/>
      <c r="O1487" s="315"/>
      <c r="P1487" s="315"/>
      <c r="Q1487" s="315"/>
      <c r="R1487" s="315"/>
      <c r="S1487" s="315"/>
      <c r="T1487" s="315"/>
      <c r="U1487" s="315"/>
      <c r="V1487" s="315"/>
      <c r="W1487" s="315"/>
      <c r="X1487" s="315"/>
      <c r="Y1487" s="315"/>
      <c r="Z1487" s="315"/>
      <c r="AA1487" s="315"/>
    </row>
    <row r="1488" spans="1:27" s="303" customFormat="1" ht="16">
      <c r="A1488" s="342" t="s">
        <v>842</v>
      </c>
      <c r="B1488" s="315"/>
      <c r="C1488" s="315"/>
      <c r="D1488" s="315"/>
      <c r="E1488" s="315"/>
      <c r="F1488" s="315"/>
      <c r="G1488" s="315"/>
      <c r="H1488" s="315"/>
      <c r="I1488" s="315"/>
      <c r="J1488" s="315"/>
      <c r="K1488" s="315"/>
      <c r="L1488" s="315"/>
      <c r="M1488" s="315"/>
      <c r="N1488" s="315"/>
      <c r="O1488" s="315"/>
      <c r="P1488" s="315"/>
      <c r="Q1488" s="315"/>
      <c r="R1488" s="315"/>
      <c r="S1488" s="315"/>
      <c r="T1488" s="315"/>
      <c r="U1488" s="315"/>
      <c r="V1488" s="315"/>
      <c r="W1488" s="315"/>
      <c r="X1488" s="315"/>
      <c r="Y1488" s="315"/>
      <c r="Z1488" s="315"/>
      <c r="AA1488" s="315"/>
    </row>
    <row r="1489" spans="1:27" s="303" customFormat="1" ht="16">
      <c r="A1489" s="315"/>
      <c r="B1489" s="315"/>
      <c r="C1489" s="315"/>
      <c r="D1489" s="315"/>
      <c r="E1489" s="315"/>
      <c r="F1489" s="315"/>
      <c r="G1489" s="315"/>
      <c r="H1489" s="315"/>
      <c r="I1489" s="315"/>
      <c r="J1489" s="315"/>
      <c r="K1489" s="315"/>
      <c r="L1489" s="315"/>
      <c r="M1489" s="315"/>
      <c r="N1489" s="315"/>
      <c r="O1489" s="315"/>
      <c r="P1489" s="315"/>
      <c r="Q1489" s="315"/>
      <c r="R1489" s="315"/>
      <c r="S1489" s="315"/>
      <c r="T1489" s="315"/>
      <c r="U1489" s="315"/>
      <c r="V1489" s="315"/>
      <c r="W1489" s="315"/>
      <c r="X1489" s="315"/>
      <c r="Y1489" s="315"/>
      <c r="Z1489" s="315"/>
      <c r="AA1489" s="315"/>
    </row>
    <row r="1490" spans="1:27" s="303" customFormat="1" ht="16">
      <c r="A1490" s="315" t="s">
        <v>843</v>
      </c>
      <c r="B1490" s="315"/>
      <c r="C1490" s="315"/>
      <c r="D1490" s="315"/>
      <c r="E1490" s="315"/>
      <c r="F1490" s="315"/>
      <c r="G1490" s="315"/>
      <c r="H1490" s="315"/>
      <c r="I1490" s="315"/>
      <c r="J1490" s="315"/>
      <c r="K1490" s="315"/>
      <c r="L1490" s="315"/>
      <c r="M1490" s="315"/>
      <c r="N1490" s="315"/>
      <c r="O1490" s="315"/>
      <c r="P1490" s="315"/>
      <c r="Q1490" s="315"/>
      <c r="R1490" s="315"/>
      <c r="S1490" s="315"/>
      <c r="T1490" s="315"/>
      <c r="U1490" s="315"/>
      <c r="V1490" s="315"/>
      <c r="W1490" s="315"/>
      <c r="X1490" s="315"/>
      <c r="Y1490" s="315"/>
      <c r="Z1490" s="315"/>
      <c r="AA1490" s="315"/>
    </row>
    <row r="1491" spans="1:27" s="303" customFormat="1" ht="16">
      <c r="A1491" s="315"/>
      <c r="B1491" s="315"/>
      <c r="C1491" s="315"/>
      <c r="D1491" s="315"/>
      <c r="E1491" s="315"/>
      <c r="F1491" s="315"/>
      <c r="G1491" s="315"/>
      <c r="H1491" s="315"/>
      <c r="I1491" s="315"/>
      <c r="J1491" s="315"/>
      <c r="K1491" s="315"/>
      <c r="L1491" s="315"/>
      <c r="M1491" s="315"/>
      <c r="N1491" s="315"/>
      <c r="O1491" s="315"/>
      <c r="P1491" s="315"/>
      <c r="Q1491" s="315"/>
      <c r="R1491" s="315"/>
      <c r="S1491" s="315"/>
      <c r="T1491" s="315"/>
      <c r="U1491" s="315"/>
      <c r="V1491" s="315"/>
      <c r="W1491" s="315"/>
      <c r="X1491" s="315"/>
      <c r="Y1491" s="315"/>
      <c r="Z1491" s="315"/>
      <c r="AA1491" s="315"/>
    </row>
    <row r="1492" spans="1:27" s="303" customFormat="1" ht="16">
      <c r="A1492" s="349" t="s">
        <v>844</v>
      </c>
      <c r="B1492" s="349"/>
      <c r="C1492" s="340" t="s">
        <v>565</v>
      </c>
      <c r="D1492" s="315"/>
      <c r="E1492" s="315"/>
      <c r="F1492" s="315"/>
      <c r="G1492" s="315"/>
      <c r="H1492" s="315"/>
      <c r="I1492" s="315"/>
      <c r="J1492" s="315"/>
      <c r="K1492" s="315"/>
      <c r="L1492" s="315"/>
      <c r="M1492" s="315"/>
      <c r="N1492" s="315"/>
      <c r="O1492" s="315"/>
      <c r="P1492" s="315"/>
      <c r="Q1492" s="315"/>
      <c r="R1492" s="315"/>
      <c r="S1492" s="315"/>
      <c r="T1492" s="315"/>
      <c r="U1492" s="315"/>
      <c r="V1492" s="315"/>
      <c r="W1492" s="315"/>
      <c r="X1492" s="315"/>
      <c r="Y1492" s="315"/>
      <c r="Z1492" s="315"/>
      <c r="AA1492" s="315"/>
    </row>
    <row r="1493" spans="1:27" s="303" customFormat="1" ht="16">
      <c r="A1493" s="336" t="s">
        <v>845</v>
      </c>
      <c r="B1493" s="336"/>
      <c r="C1493" s="336">
        <v>230</v>
      </c>
      <c r="D1493" s="315"/>
      <c r="E1493" s="315"/>
      <c r="F1493" s="315"/>
      <c r="G1493" s="315"/>
      <c r="H1493" s="315"/>
      <c r="I1493" s="315"/>
      <c r="J1493" s="315"/>
      <c r="K1493" s="315"/>
      <c r="L1493" s="315"/>
      <c r="M1493" s="315"/>
      <c r="N1493" s="315"/>
      <c r="O1493" s="315"/>
      <c r="P1493" s="315"/>
      <c r="Q1493" s="315"/>
      <c r="R1493" s="315"/>
      <c r="S1493" s="315"/>
      <c r="T1493" s="315"/>
      <c r="U1493" s="315"/>
      <c r="V1493" s="315"/>
      <c r="W1493" s="315"/>
      <c r="X1493" s="315"/>
      <c r="Y1493" s="315"/>
      <c r="Z1493" s="315"/>
      <c r="AA1493" s="315"/>
    </row>
    <row r="1494" spans="1:27" s="303" customFormat="1" ht="16">
      <c r="A1494" s="336" t="s">
        <v>846</v>
      </c>
      <c r="B1494" s="336"/>
      <c r="C1494" s="336">
        <v>50</v>
      </c>
      <c r="D1494" s="315"/>
      <c r="E1494" s="315"/>
      <c r="F1494" s="315"/>
      <c r="G1494" s="315"/>
      <c r="H1494" s="315"/>
      <c r="I1494" s="315"/>
      <c r="J1494" s="315"/>
      <c r="K1494" s="315"/>
      <c r="L1494" s="315"/>
      <c r="M1494" s="315"/>
      <c r="N1494" s="315"/>
      <c r="O1494" s="315"/>
      <c r="P1494" s="315"/>
      <c r="Q1494" s="315"/>
      <c r="R1494" s="315"/>
      <c r="S1494" s="315"/>
      <c r="T1494" s="315"/>
      <c r="U1494" s="315"/>
      <c r="V1494" s="315"/>
      <c r="W1494" s="315"/>
      <c r="X1494" s="315"/>
      <c r="Y1494" s="315"/>
      <c r="Z1494" s="315"/>
      <c r="AA1494" s="315"/>
    </row>
    <row r="1495" spans="1:27" s="303" customFormat="1" ht="16">
      <c r="A1495" s="336" t="s">
        <v>847</v>
      </c>
      <c r="B1495" s="336"/>
      <c r="C1495" s="336">
        <v>550</v>
      </c>
      <c r="D1495" s="315"/>
      <c r="E1495" s="315"/>
      <c r="F1495" s="315"/>
      <c r="G1495" s="315"/>
      <c r="H1495" s="315"/>
      <c r="I1495" s="315"/>
      <c r="J1495" s="315"/>
      <c r="K1495" s="315"/>
      <c r="L1495" s="315"/>
      <c r="M1495" s="315"/>
      <c r="N1495" s="315"/>
      <c r="O1495" s="315"/>
      <c r="P1495" s="315"/>
      <c r="Q1495" s="315"/>
      <c r="R1495" s="315"/>
      <c r="S1495" s="315"/>
      <c r="T1495" s="315"/>
      <c r="U1495" s="315"/>
      <c r="V1495" s="315"/>
      <c r="W1495" s="315"/>
      <c r="X1495" s="315"/>
      <c r="Y1495" s="315"/>
      <c r="Z1495" s="315"/>
      <c r="AA1495" s="315"/>
    </row>
    <row r="1496" spans="1:27" s="303" customFormat="1" ht="16">
      <c r="A1496" s="336" t="s">
        <v>848</v>
      </c>
      <c r="B1496" s="336"/>
      <c r="C1496" s="336">
        <v>50</v>
      </c>
      <c r="D1496" s="315"/>
      <c r="E1496" s="315"/>
      <c r="F1496" s="315"/>
      <c r="G1496" s="315"/>
      <c r="H1496" s="315"/>
      <c r="I1496" s="315"/>
      <c r="J1496" s="315"/>
      <c r="K1496" s="315"/>
      <c r="L1496" s="315"/>
      <c r="M1496" s="315"/>
      <c r="N1496" s="315"/>
      <c r="O1496" s="315"/>
      <c r="P1496" s="315"/>
      <c r="Q1496" s="315"/>
      <c r="R1496" s="315"/>
      <c r="S1496" s="315"/>
      <c r="T1496" s="315"/>
      <c r="U1496" s="315"/>
      <c r="V1496" s="315"/>
      <c r="W1496" s="315"/>
      <c r="X1496" s="315"/>
      <c r="Y1496" s="315"/>
      <c r="Z1496" s="315"/>
      <c r="AA1496" s="315"/>
    </row>
    <row r="1497" spans="1:27" s="303" customFormat="1" ht="16">
      <c r="A1497" s="321" t="s">
        <v>849</v>
      </c>
      <c r="B1497" s="321"/>
      <c r="C1497" s="321">
        <v>80</v>
      </c>
      <c r="D1497" s="315"/>
      <c r="E1497" s="315"/>
      <c r="F1497" s="315"/>
      <c r="G1497" s="315"/>
      <c r="H1497" s="315"/>
      <c r="I1497" s="315"/>
      <c r="J1497" s="315"/>
      <c r="K1497" s="315"/>
      <c r="L1497" s="315"/>
      <c r="M1497" s="315"/>
      <c r="N1497" s="315"/>
      <c r="O1497" s="315"/>
      <c r="P1497" s="315"/>
      <c r="Q1497" s="315"/>
      <c r="R1497" s="315"/>
      <c r="S1497" s="315"/>
      <c r="T1497" s="315"/>
      <c r="U1497" s="315"/>
      <c r="V1497" s="315"/>
      <c r="W1497" s="315"/>
      <c r="X1497" s="315"/>
      <c r="Y1497" s="315"/>
      <c r="Z1497" s="315"/>
      <c r="AA1497" s="315"/>
    </row>
    <row r="1498" spans="1:27" s="303" customFormat="1" ht="16">
      <c r="A1498" s="321" t="s">
        <v>850</v>
      </c>
      <c r="B1498" s="321"/>
      <c r="C1498" s="321">
        <v>200</v>
      </c>
      <c r="D1498" s="315"/>
      <c r="E1498" s="315"/>
      <c r="F1498" s="315"/>
      <c r="G1498" s="315"/>
      <c r="H1498" s="315"/>
      <c r="I1498" s="315"/>
      <c r="J1498" s="315"/>
      <c r="K1498" s="315"/>
      <c r="L1498" s="315"/>
      <c r="M1498" s="315"/>
      <c r="N1498" s="315"/>
      <c r="O1498" s="315"/>
      <c r="P1498" s="315"/>
      <c r="Q1498" s="315"/>
      <c r="R1498" s="315"/>
      <c r="S1498" s="315"/>
      <c r="T1498" s="315"/>
      <c r="U1498" s="315"/>
      <c r="V1498" s="315"/>
      <c r="W1498" s="315"/>
      <c r="X1498" s="315"/>
      <c r="Y1498" s="315"/>
      <c r="Z1498" s="315"/>
      <c r="AA1498" s="315"/>
    </row>
    <row r="1499" spans="1:27" s="303" customFormat="1" ht="16">
      <c r="A1499" s="321" t="s">
        <v>851</v>
      </c>
      <c r="B1499" s="321"/>
      <c r="C1499" s="321">
        <v>20</v>
      </c>
      <c r="D1499" s="315"/>
      <c r="E1499" s="315"/>
      <c r="F1499" s="315"/>
      <c r="G1499" s="315"/>
      <c r="H1499" s="315"/>
      <c r="I1499" s="315"/>
      <c r="J1499" s="315"/>
      <c r="K1499" s="315"/>
      <c r="L1499" s="315"/>
      <c r="M1499" s="315"/>
      <c r="N1499" s="315"/>
      <c r="O1499" s="315"/>
      <c r="P1499" s="315"/>
      <c r="Q1499" s="315"/>
      <c r="R1499" s="315"/>
      <c r="S1499" s="315"/>
      <c r="T1499" s="315"/>
      <c r="U1499" s="315"/>
      <c r="V1499" s="315"/>
      <c r="W1499" s="315"/>
      <c r="X1499" s="315"/>
      <c r="Y1499" s="315"/>
      <c r="Z1499" s="315"/>
      <c r="AA1499" s="315"/>
    </row>
    <row r="1500" spans="1:27" s="303" customFormat="1" ht="16">
      <c r="A1500" s="336" t="s">
        <v>852</v>
      </c>
      <c r="B1500" s="336"/>
      <c r="C1500" s="336">
        <v>95</v>
      </c>
      <c r="D1500" s="315"/>
      <c r="E1500" s="315"/>
      <c r="F1500" s="315"/>
      <c r="G1500" s="315"/>
      <c r="H1500" s="315"/>
      <c r="I1500" s="315"/>
      <c r="J1500" s="315"/>
      <c r="K1500" s="315"/>
      <c r="L1500" s="315"/>
      <c r="M1500" s="315"/>
      <c r="N1500" s="315"/>
      <c r="O1500" s="315"/>
      <c r="P1500" s="315"/>
      <c r="Q1500" s="315"/>
      <c r="R1500" s="315"/>
      <c r="S1500" s="315"/>
      <c r="T1500" s="315"/>
      <c r="U1500" s="315"/>
      <c r="V1500" s="315"/>
      <c r="W1500" s="315"/>
      <c r="X1500" s="315"/>
      <c r="Y1500" s="315"/>
      <c r="Z1500" s="315"/>
      <c r="AA1500" s="315"/>
    </row>
    <row r="1501" spans="1:27" s="303" customFormat="1" ht="16">
      <c r="A1501" s="321" t="s">
        <v>79</v>
      </c>
      <c r="B1501" s="321"/>
      <c r="C1501" s="321">
        <v>900</v>
      </c>
      <c r="D1501" s="315"/>
      <c r="E1501" s="315"/>
      <c r="F1501" s="315"/>
      <c r="G1501" s="315"/>
      <c r="H1501" s="315"/>
      <c r="I1501" s="315"/>
      <c r="J1501" s="315"/>
      <c r="K1501" s="315"/>
      <c r="L1501" s="315"/>
      <c r="M1501" s="315"/>
      <c r="N1501" s="315"/>
      <c r="O1501" s="315"/>
      <c r="P1501" s="315"/>
      <c r="Q1501" s="315"/>
      <c r="R1501" s="315"/>
      <c r="S1501" s="315"/>
      <c r="T1501" s="315"/>
      <c r="U1501" s="315"/>
      <c r="V1501" s="315"/>
      <c r="W1501" s="315"/>
      <c r="X1501" s="315"/>
      <c r="Y1501" s="315"/>
      <c r="Z1501" s="315"/>
      <c r="AA1501" s="315"/>
    </row>
    <row r="1502" spans="1:27" s="303" customFormat="1" ht="16">
      <c r="A1502" s="321" t="s">
        <v>81</v>
      </c>
      <c r="B1502" s="321"/>
      <c r="C1502" s="321">
        <v>30</v>
      </c>
      <c r="D1502" s="315"/>
      <c r="E1502" s="315"/>
      <c r="F1502" s="315"/>
      <c r="G1502" s="315"/>
      <c r="H1502" s="315"/>
      <c r="I1502" s="315"/>
      <c r="J1502" s="315"/>
      <c r="K1502" s="315"/>
      <c r="L1502" s="315"/>
      <c r="M1502" s="315"/>
      <c r="N1502" s="315"/>
      <c r="O1502" s="315"/>
      <c r="P1502" s="315"/>
      <c r="Q1502" s="315"/>
      <c r="R1502" s="315"/>
      <c r="S1502" s="315"/>
      <c r="T1502" s="315"/>
      <c r="U1502" s="315"/>
      <c r="V1502" s="315"/>
      <c r="W1502" s="315"/>
      <c r="X1502" s="315"/>
      <c r="Y1502" s="315"/>
      <c r="Z1502" s="315"/>
      <c r="AA1502" s="315"/>
    </row>
    <row r="1503" spans="1:27" s="303" customFormat="1" ht="16">
      <c r="A1503" s="321" t="s">
        <v>853</v>
      </c>
      <c r="B1503" s="321"/>
      <c r="C1503" s="321">
        <v>90</v>
      </c>
      <c r="D1503" s="315"/>
      <c r="E1503" s="315"/>
      <c r="F1503" s="315"/>
      <c r="G1503" s="315"/>
      <c r="H1503" s="315"/>
      <c r="I1503" s="315"/>
      <c r="J1503" s="315"/>
      <c r="K1503" s="315"/>
      <c r="L1503" s="315"/>
      <c r="M1503" s="315"/>
      <c r="N1503" s="315"/>
      <c r="O1503" s="315"/>
      <c r="P1503" s="315"/>
      <c r="Q1503" s="315"/>
      <c r="R1503" s="315"/>
      <c r="S1503" s="315"/>
      <c r="T1503" s="315"/>
      <c r="U1503" s="315"/>
      <c r="V1503" s="315"/>
      <c r="W1503" s="315"/>
      <c r="X1503" s="315"/>
      <c r="Y1503" s="315"/>
      <c r="Z1503" s="315"/>
      <c r="AA1503" s="315"/>
    </row>
    <row r="1504" spans="1:27" s="303" customFormat="1" ht="16">
      <c r="A1504" s="321" t="s">
        <v>854</v>
      </c>
      <c r="B1504" s="321"/>
      <c r="C1504" s="321">
        <v>120</v>
      </c>
      <c r="D1504" s="315"/>
      <c r="E1504" s="315"/>
      <c r="F1504" s="315"/>
      <c r="G1504" s="315"/>
      <c r="H1504" s="315"/>
      <c r="I1504" s="315"/>
      <c r="J1504" s="315"/>
      <c r="K1504" s="315"/>
      <c r="L1504" s="315"/>
      <c r="M1504" s="315"/>
      <c r="N1504" s="315"/>
      <c r="O1504" s="315"/>
      <c r="P1504" s="315"/>
      <c r="Q1504" s="315"/>
      <c r="R1504" s="315"/>
      <c r="S1504" s="315"/>
      <c r="T1504" s="315"/>
      <c r="U1504" s="315"/>
      <c r="V1504" s="315"/>
      <c r="W1504" s="315"/>
      <c r="X1504" s="315"/>
      <c r="Y1504" s="315"/>
      <c r="Z1504" s="315"/>
      <c r="AA1504" s="315"/>
    </row>
    <row r="1505" spans="1:27" s="303" customFormat="1" ht="16">
      <c r="A1505" s="321" t="s">
        <v>69</v>
      </c>
      <c r="B1505" s="321"/>
      <c r="C1505" s="321">
        <v>15</v>
      </c>
      <c r="D1505" s="315"/>
      <c r="E1505" s="315"/>
      <c r="F1505" s="315"/>
      <c r="G1505" s="315"/>
      <c r="H1505" s="315"/>
      <c r="I1505" s="315"/>
      <c r="J1505" s="315"/>
      <c r="K1505" s="315"/>
      <c r="L1505" s="315"/>
      <c r="M1505" s="315"/>
      <c r="N1505" s="315"/>
      <c r="O1505" s="315"/>
      <c r="P1505" s="315"/>
      <c r="Q1505" s="315"/>
      <c r="R1505" s="315"/>
      <c r="S1505" s="315"/>
      <c r="T1505" s="315"/>
      <c r="U1505" s="315"/>
      <c r="V1505" s="315"/>
      <c r="W1505" s="315"/>
      <c r="X1505" s="315"/>
      <c r="Y1505" s="315"/>
      <c r="Z1505" s="315"/>
      <c r="AA1505" s="315"/>
    </row>
    <row r="1506" spans="1:27" s="303" customFormat="1" ht="16">
      <c r="A1506" s="321" t="s">
        <v>855</v>
      </c>
      <c r="B1506" s="321"/>
      <c r="C1506" s="321">
        <v>87</v>
      </c>
      <c r="D1506" s="315"/>
      <c r="E1506" s="315"/>
      <c r="F1506" s="315"/>
      <c r="G1506" s="315"/>
      <c r="H1506" s="315"/>
      <c r="I1506" s="315"/>
      <c r="J1506" s="315"/>
      <c r="K1506" s="315"/>
      <c r="L1506" s="315"/>
      <c r="M1506" s="315"/>
      <c r="N1506" s="315"/>
      <c r="O1506" s="315"/>
      <c r="P1506" s="315"/>
      <c r="Q1506" s="315"/>
      <c r="R1506" s="315"/>
      <c r="S1506" s="315"/>
      <c r="T1506" s="315"/>
      <c r="U1506" s="315"/>
      <c r="V1506" s="315"/>
      <c r="W1506" s="315"/>
      <c r="X1506" s="315"/>
      <c r="Y1506" s="315"/>
      <c r="Z1506" s="315"/>
      <c r="AA1506" s="315"/>
    </row>
    <row r="1507" spans="1:27" s="303" customFormat="1" ht="16">
      <c r="A1507" s="321" t="s">
        <v>719</v>
      </c>
      <c r="B1507" s="321"/>
      <c r="C1507" s="321">
        <v>33</v>
      </c>
      <c r="D1507" s="315"/>
      <c r="E1507" s="315"/>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321" t="s">
        <v>721</v>
      </c>
      <c r="B1508" s="321"/>
      <c r="C1508" s="321">
        <v>12</v>
      </c>
      <c r="D1508" s="315"/>
      <c r="E1508" s="315"/>
      <c r="F1508" s="315"/>
      <c r="G1508" s="315"/>
      <c r="H1508" s="315"/>
      <c r="I1508" s="315"/>
      <c r="J1508" s="315"/>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321" t="s">
        <v>856</v>
      </c>
      <c r="B1509" s="321"/>
      <c r="C1509" s="321">
        <v>100</v>
      </c>
      <c r="D1509" s="315"/>
      <c r="E1509" s="315"/>
      <c r="F1509" s="315"/>
      <c r="G1509" s="315"/>
      <c r="H1509" s="315"/>
      <c r="I1509" s="315"/>
      <c r="J1509" s="315"/>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321" t="s">
        <v>857</v>
      </c>
      <c r="B1510" s="321"/>
      <c r="C1510" s="321">
        <v>20</v>
      </c>
      <c r="D1510" s="315"/>
      <c r="E1510" s="315"/>
      <c r="F1510" s="315"/>
      <c r="G1510" s="315"/>
      <c r="H1510" s="315"/>
      <c r="I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321" t="s">
        <v>566</v>
      </c>
      <c r="B1511" s="321"/>
      <c r="C1511" s="321">
        <v>300</v>
      </c>
      <c r="D1511" s="315"/>
      <c r="E1511" s="315"/>
      <c r="F1511" s="315"/>
      <c r="G1511" s="315"/>
      <c r="H1511" s="315"/>
      <c r="I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321" t="s">
        <v>568</v>
      </c>
      <c r="B1512" s="321"/>
      <c r="C1512" s="321">
        <v>20</v>
      </c>
      <c r="D1512" s="315"/>
      <c r="E1512" s="315"/>
      <c r="F1512" s="315"/>
      <c r="G1512" s="315"/>
      <c r="H1512" s="315"/>
      <c r="I1512" s="315"/>
      <c r="J1512" s="315"/>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6">
      <c r="A1513" s="321" t="s">
        <v>628</v>
      </c>
      <c r="B1513" s="321"/>
      <c r="C1513" s="321">
        <v>10</v>
      </c>
      <c r="D1513" s="315"/>
      <c r="E1513" s="315"/>
      <c r="F1513" s="315"/>
      <c r="G1513" s="315"/>
      <c r="H1513" s="315"/>
      <c r="I1513" s="315"/>
      <c r="J1513" s="315"/>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321" t="s">
        <v>858</v>
      </c>
      <c r="B1514" s="321"/>
      <c r="C1514" s="321">
        <v>70</v>
      </c>
      <c r="D1514" s="315"/>
      <c r="E1514" s="315"/>
      <c r="F1514" s="315"/>
      <c r="G1514" s="315"/>
      <c r="H1514" s="315"/>
      <c r="I1514" s="315"/>
      <c r="J1514" s="315"/>
      <c r="K1514" s="315"/>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321" t="s">
        <v>555</v>
      </c>
      <c r="B1515" s="321"/>
      <c r="C1515" s="321">
        <v>15</v>
      </c>
      <c r="D1515" s="315"/>
      <c r="E1515" s="315"/>
      <c r="F1515" s="315"/>
      <c r="G1515" s="315"/>
      <c r="H1515" s="315"/>
      <c r="I1515" s="315"/>
      <c r="J1515" s="315"/>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321" t="s">
        <v>554</v>
      </c>
      <c r="B1516" s="321"/>
      <c r="C1516" s="321">
        <v>12</v>
      </c>
      <c r="D1516" s="315"/>
      <c r="E1516" s="315"/>
      <c r="F1516" s="315"/>
      <c r="G1516" s="315"/>
      <c r="H1516" s="315"/>
      <c r="I1516" s="315"/>
      <c r="J1516" s="315"/>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321" t="s">
        <v>575</v>
      </c>
      <c r="B1517" s="321"/>
      <c r="C1517" s="321">
        <v>11</v>
      </c>
      <c r="D1517" s="315"/>
      <c r="E1517" s="315"/>
      <c r="F1517" s="315"/>
      <c r="G1517" s="315"/>
      <c r="H1517" s="315"/>
      <c r="I1517" s="315"/>
      <c r="J1517" s="315"/>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321" t="s">
        <v>859</v>
      </c>
      <c r="B1518" s="321"/>
      <c r="C1518" s="321">
        <v>13</v>
      </c>
      <c r="D1518" s="315"/>
      <c r="E1518" s="315"/>
      <c r="F1518" s="315"/>
      <c r="G1518" s="315"/>
      <c r="H1518" s="315"/>
      <c r="I1518" s="315"/>
      <c r="J1518" s="315"/>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6">
      <c r="A1519" s="321" t="s">
        <v>860</v>
      </c>
      <c r="B1519" s="321"/>
      <c r="C1519" s="321">
        <v>9</v>
      </c>
      <c r="D1519" s="315"/>
      <c r="E1519" s="315"/>
      <c r="F1519" s="315"/>
      <c r="G1519" s="315"/>
      <c r="H1519" s="315"/>
      <c r="I1519" s="315"/>
      <c r="J1519" s="315"/>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321" t="s">
        <v>475</v>
      </c>
      <c r="B1520" s="321"/>
      <c r="C1520" s="321">
        <v>5</v>
      </c>
      <c r="D1520" s="315"/>
      <c r="E1520" s="315"/>
      <c r="F1520" s="315"/>
      <c r="G1520" s="315"/>
      <c r="H1520" s="315"/>
      <c r="I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321" t="s">
        <v>581</v>
      </c>
      <c r="B1521" s="321"/>
      <c r="C1521" s="321">
        <v>6</v>
      </c>
      <c r="D1521" s="315"/>
      <c r="E1521" s="315"/>
      <c r="F1521" s="315"/>
      <c r="G1521" s="315"/>
      <c r="H1521" s="315"/>
      <c r="I1521" s="315"/>
      <c r="J1521" s="315"/>
      <c r="K1521" s="315"/>
      <c r="L1521" s="315"/>
      <c r="M1521" s="315"/>
      <c r="N1521" s="315"/>
      <c r="O1521" s="315"/>
      <c r="P1521" s="315"/>
      <c r="Q1521" s="315"/>
      <c r="R1521" s="315"/>
      <c r="S1521" s="315"/>
      <c r="T1521" s="315"/>
      <c r="U1521" s="315"/>
      <c r="V1521" s="315"/>
      <c r="W1521" s="315"/>
      <c r="X1521" s="315"/>
      <c r="Y1521" s="315"/>
      <c r="Z1521" s="315"/>
      <c r="AA1521" s="315"/>
    </row>
    <row r="1522" spans="1:27" s="303" customFormat="1" ht="16">
      <c r="A1522" s="321" t="s">
        <v>861</v>
      </c>
      <c r="B1522" s="321"/>
      <c r="C1522" s="321">
        <v>80</v>
      </c>
      <c r="D1522" s="315"/>
      <c r="E1522" s="315"/>
      <c r="F1522" s="315"/>
      <c r="G1522" s="315"/>
      <c r="H1522" s="315"/>
      <c r="I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6">
      <c r="A1523" s="321" t="s">
        <v>862</v>
      </c>
      <c r="B1523" s="321"/>
      <c r="C1523" s="321">
        <v>15</v>
      </c>
      <c r="D1523" s="315"/>
      <c r="E1523" s="315"/>
      <c r="F1523" s="315"/>
      <c r="G1523" s="315"/>
      <c r="H1523" s="315"/>
      <c r="I1523" s="315"/>
      <c r="J1523" s="315"/>
      <c r="K1523" s="315"/>
      <c r="L1523" s="315"/>
      <c r="M1523" s="315"/>
      <c r="N1523" s="315"/>
      <c r="O1523" s="315"/>
      <c r="P1523" s="315"/>
      <c r="Q1523" s="315"/>
      <c r="R1523" s="315"/>
      <c r="S1523" s="315"/>
      <c r="T1523" s="315"/>
      <c r="U1523" s="315"/>
      <c r="V1523" s="315"/>
      <c r="W1523" s="315"/>
      <c r="X1523" s="315"/>
      <c r="Y1523" s="315"/>
      <c r="Z1523" s="315"/>
      <c r="AA1523" s="315"/>
    </row>
    <row r="1524" spans="1:27" s="303" customFormat="1" ht="16">
      <c r="A1524" s="321" t="s">
        <v>582</v>
      </c>
      <c r="B1524" s="321"/>
      <c r="C1524" s="321">
        <v>16</v>
      </c>
      <c r="D1524" s="315"/>
      <c r="E1524" s="315"/>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A1525" s="321" t="s">
        <v>579</v>
      </c>
      <c r="B1525" s="321"/>
      <c r="C1525" s="321">
        <v>45</v>
      </c>
      <c r="D1525" s="315"/>
      <c r="E1525" s="315"/>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A1526" s="321" t="s">
        <v>863</v>
      </c>
      <c r="B1526" s="321"/>
      <c r="C1526" s="384">
        <v>40</v>
      </c>
      <c r="D1526" s="315"/>
      <c r="E1526" s="315"/>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A1527" s="321" t="s">
        <v>864</v>
      </c>
      <c r="B1527" s="321"/>
      <c r="C1527" s="384" t="s">
        <v>726</v>
      </c>
      <c r="D1527" s="315"/>
      <c r="E1527" s="315"/>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336" t="s">
        <v>495</v>
      </c>
      <c r="B1528" s="336"/>
      <c r="C1528" s="336"/>
      <c r="D1528" s="315"/>
      <c r="E1528" s="315"/>
      <c r="F1528" s="315"/>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315"/>
      <c r="B1529" s="315"/>
      <c r="C1529" s="315"/>
      <c r="D1529" s="315"/>
      <c r="E1529" s="315"/>
      <c r="F1529" s="315"/>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315" t="s">
        <v>865</v>
      </c>
      <c r="B1530" s="315"/>
      <c r="C1530" s="315"/>
      <c r="D1530" s="315"/>
      <c r="E1530" s="315"/>
      <c r="F1530" s="315"/>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315"/>
      <c r="B1531" s="315"/>
      <c r="C1531" s="315"/>
      <c r="D1531" s="315"/>
      <c r="E1531" s="315"/>
      <c r="F1531" s="315"/>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315"/>
      <c r="B1532" s="315"/>
      <c r="C1532" s="315"/>
      <c r="D1532" s="315"/>
      <c r="E1532" s="315"/>
      <c r="F1532" s="315"/>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315"/>
      <c r="B1533" s="315"/>
      <c r="C1533" s="315"/>
      <c r="D1533" s="315"/>
      <c r="E1533" s="315"/>
      <c r="F1533" s="315"/>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315"/>
      <c r="B1534" s="315"/>
      <c r="C1534" s="315"/>
      <c r="D1534" s="315"/>
      <c r="E1534" s="315"/>
      <c r="F1534" s="315"/>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315"/>
      <c r="B1535" s="315"/>
      <c r="C1535" s="315"/>
      <c r="D1535" s="315"/>
      <c r="E1535" s="315"/>
      <c r="F1535" s="315"/>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68">
      <c r="A1536" s="349" t="s">
        <v>844</v>
      </c>
      <c r="B1536" s="349"/>
      <c r="C1536" s="340" t="s">
        <v>565</v>
      </c>
      <c r="D1536" s="340" t="s">
        <v>131</v>
      </c>
      <c r="E1536" s="340" t="s">
        <v>196</v>
      </c>
      <c r="F1536" s="341" t="s">
        <v>866</v>
      </c>
      <c r="G1536" s="340" t="s">
        <v>249</v>
      </c>
      <c r="H1536" s="340" t="s">
        <v>208</v>
      </c>
      <c r="I1536" s="315"/>
      <c r="N1536" s="315"/>
      <c r="O1536" s="315"/>
      <c r="P1536" s="315"/>
      <c r="Q1536" s="315"/>
      <c r="R1536" s="315"/>
      <c r="S1536" s="315"/>
      <c r="T1536" s="315"/>
      <c r="U1536" s="315"/>
      <c r="V1536" s="315"/>
      <c r="W1536" s="315"/>
      <c r="X1536" s="315"/>
      <c r="Y1536" s="315"/>
      <c r="Z1536" s="315"/>
      <c r="AA1536" s="315"/>
    </row>
    <row r="1537" spans="1:27" s="303" customFormat="1" ht="16">
      <c r="A1537" s="336" t="s">
        <v>845</v>
      </c>
      <c r="B1537" s="336"/>
      <c r="C1537" s="336">
        <v>230</v>
      </c>
      <c r="D1537" s="385">
        <f t="shared" ref="D1537:D1539" si="39">C1537</f>
        <v>230</v>
      </c>
      <c r="E1537" s="320"/>
      <c r="F1537" s="320"/>
      <c r="G1537" s="320"/>
      <c r="H1537" s="320"/>
      <c r="I1537" s="336"/>
      <c r="N1537" s="336"/>
      <c r="O1537" s="336"/>
      <c r="P1537" s="336"/>
      <c r="Q1537" s="336"/>
      <c r="R1537" s="336"/>
      <c r="S1537" s="336"/>
      <c r="T1537" s="336"/>
      <c r="U1537" s="336"/>
      <c r="V1537" s="336"/>
      <c r="W1537" s="336"/>
      <c r="X1537" s="336"/>
      <c r="Y1537" s="336"/>
      <c r="Z1537" s="336"/>
      <c r="AA1537" s="336"/>
    </row>
    <row r="1538" spans="1:27" s="303" customFormat="1" ht="16">
      <c r="A1538" s="336" t="s">
        <v>846</v>
      </c>
      <c r="B1538" s="336"/>
      <c r="C1538" s="336">
        <v>50</v>
      </c>
      <c r="D1538" s="385">
        <f t="shared" si="39"/>
        <v>50</v>
      </c>
      <c r="E1538" s="320"/>
      <c r="F1538" s="320"/>
      <c r="G1538" s="320"/>
      <c r="H1538" s="320"/>
      <c r="I1538" s="336"/>
      <c r="N1538" s="336"/>
      <c r="O1538" s="336"/>
      <c r="P1538" s="336"/>
      <c r="Q1538" s="336"/>
      <c r="R1538" s="336"/>
      <c r="S1538" s="336"/>
      <c r="T1538" s="336"/>
      <c r="U1538" s="336"/>
      <c r="V1538" s="336"/>
      <c r="W1538" s="336"/>
      <c r="X1538" s="336"/>
      <c r="Y1538" s="336"/>
      <c r="Z1538" s="336"/>
      <c r="AA1538" s="336"/>
    </row>
    <row r="1539" spans="1:27" s="303" customFormat="1" ht="16">
      <c r="A1539" s="336" t="s">
        <v>847</v>
      </c>
      <c r="B1539" s="336"/>
      <c r="C1539" s="336">
        <v>550</v>
      </c>
      <c r="D1539" s="386">
        <f t="shared" si="39"/>
        <v>550</v>
      </c>
      <c r="E1539" s="320"/>
      <c r="F1539" s="320"/>
      <c r="G1539" s="320"/>
      <c r="H1539" s="320"/>
      <c r="I1539" s="336"/>
      <c r="N1539" s="336"/>
      <c r="O1539" s="336"/>
      <c r="P1539" s="336"/>
      <c r="Q1539" s="336"/>
      <c r="R1539" s="336"/>
      <c r="S1539" s="336"/>
      <c r="T1539" s="336"/>
      <c r="U1539" s="336"/>
      <c r="V1539" s="336"/>
      <c r="W1539" s="336"/>
      <c r="X1539" s="336"/>
      <c r="Y1539" s="336"/>
      <c r="Z1539" s="336"/>
      <c r="AA1539" s="336"/>
    </row>
    <row r="1540" spans="1:27" s="303" customFormat="1" ht="16">
      <c r="A1540" s="336" t="s">
        <v>848</v>
      </c>
      <c r="B1540" s="336"/>
      <c r="C1540" s="336">
        <v>50</v>
      </c>
      <c r="D1540" s="319">
        <f>-C1540</f>
        <v>-50</v>
      </c>
      <c r="E1540" s="320"/>
      <c r="F1540" s="320"/>
      <c r="G1540" s="320"/>
      <c r="H1540" s="320"/>
      <c r="I1540" s="336"/>
      <c r="N1540" s="336"/>
      <c r="O1540" s="336"/>
      <c r="P1540" s="336"/>
      <c r="Q1540" s="336"/>
      <c r="R1540" s="336"/>
      <c r="S1540" s="336"/>
      <c r="T1540" s="336"/>
      <c r="U1540" s="336"/>
      <c r="V1540" s="336"/>
      <c r="W1540" s="336"/>
      <c r="X1540" s="336"/>
      <c r="Y1540" s="336"/>
      <c r="Z1540" s="336"/>
      <c r="AA1540" s="336"/>
    </row>
    <row r="1541" spans="1:27" s="322" customFormat="1" ht="16">
      <c r="A1541" s="321" t="s">
        <v>849</v>
      </c>
      <c r="B1541" s="321"/>
      <c r="C1541" s="321">
        <v>80</v>
      </c>
      <c r="D1541" s="385">
        <f t="shared" ref="D1541:D1542" si="40">C1541</f>
        <v>80</v>
      </c>
      <c r="E1541" s="321"/>
      <c r="F1541" s="321"/>
      <c r="G1541" s="321"/>
      <c r="H1541" s="321"/>
      <c r="I1541" s="321"/>
      <c r="N1541" s="321"/>
      <c r="O1541" s="321"/>
      <c r="P1541" s="321"/>
      <c r="Q1541" s="321"/>
      <c r="R1541" s="321"/>
      <c r="S1541" s="321"/>
      <c r="T1541" s="321"/>
      <c r="U1541" s="321"/>
      <c r="V1541" s="321"/>
      <c r="W1541" s="321"/>
      <c r="X1541" s="321"/>
      <c r="Y1541" s="321"/>
      <c r="Z1541" s="321"/>
      <c r="AA1541" s="321"/>
    </row>
    <row r="1542" spans="1:27" s="322" customFormat="1" ht="16">
      <c r="A1542" s="321" t="s">
        <v>850</v>
      </c>
      <c r="B1542" s="321"/>
      <c r="C1542" s="321">
        <v>200</v>
      </c>
      <c r="D1542" s="386">
        <f t="shared" si="40"/>
        <v>200</v>
      </c>
      <c r="E1542" s="321"/>
      <c r="F1542" s="321"/>
      <c r="G1542" s="321"/>
      <c r="H1542" s="321"/>
      <c r="I1542" s="321"/>
      <c r="N1542" s="321"/>
      <c r="O1542" s="321"/>
      <c r="P1542" s="321"/>
      <c r="Q1542" s="321"/>
      <c r="R1542" s="321"/>
      <c r="S1542" s="321"/>
      <c r="T1542" s="321"/>
      <c r="U1542" s="321"/>
      <c r="V1542" s="321"/>
      <c r="W1542" s="321"/>
      <c r="X1542" s="321"/>
      <c r="Y1542" s="321"/>
      <c r="Z1542" s="321"/>
      <c r="AA1542" s="321"/>
    </row>
    <row r="1543" spans="1:27" s="322" customFormat="1" ht="16">
      <c r="A1543" s="321" t="s">
        <v>851</v>
      </c>
      <c r="B1543" s="321"/>
      <c r="C1543" s="321">
        <v>20</v>
      </c>
      <c r="D1543" s="319">
        <f>-C1543</f>
        <v>-20</v>
      </c>
      <c r="E1543" s="321"/>
      <c r="F1543" s="321"/>
      <c r="G1543" s="321"/>
      <c r="H1543" s="321"/>
      <c r="I1543" s="321"/>
      <c r="N1543" s="321"/>
      <c r="O1543" s="321"/>
      <c r="P1543" s="321"/>
      <c r="Q1543" s="321"/>
      <c r="R1543" s="321"/>
      <c r="S1543" s="321"/>
      <c r="T1543" s="321"/>
      <c r="U1543" s="321"/>
      <c r="V1543" s="321"/>
      <c r="W1543" s="321"/>
      <c r="X1543" s="321"/>
      <c r="Y1543" s="321"/>
      <c r="Z1543" s="321"/>
      <c r="AA1543" s="321"/>
    </row>
    <row r="1544" spans="1:27" s="303" customFormat="1" ht="16">
      <c r="A1544" s="336" t="s">
        <v>852</v>
      </c>
      <c r="B1544" s="336"/>
      <c r="C1544" s="336">
        <v>95</v>
      </c>
      <c r="D1544" s="385">
        <f t="shared" ref="D1544:D1547" si="41">C1544</f>
        <v>95</v>
      </c>
      <c r="E1544" s="320"/>
      <c r="F1544" s="320"/>
      <c r="G1544" s="320"/>
      <c r="H1544" s="320"/>
      <c r="I1544" s="336"/>
      <c r="N1544" s="336"/>
      <c r="O1544" s="336"/>
      <c r="P1544" s="336"/>
      <c r="Q1544" s="336"/>
      <c r="R1544" s="336"/>
      <c r="S1544" s="336"/>
      <c r="T1544" s="336"/>
      <c r="U1544" s="336"/>
      <c r="V1544" s="336"/>
      <c r="W1544" s="336"/>
      <c r="X1544" s="336"/>
      <c r="Y1544" s="336"/>
      <c r="Z1544" s="336"/>
      <c r="AA1544" s="336"/>
    </row>
    <row r="1545" spans="1:27" s="322" customFormat="1" ht="16">
      <c r="A1545" s="321" t="s">
        <v>79</v>
      </c>
      <c r="B1545" s="321"/>
      <c r="C1545" s="321">
        <v>900</v>
      </c>
      <c r="D1545" s="321">
        <f t="shared" si="41"/>
        <v>900</v>
      </c>
      <c r="E1545" s="321"/>
      <c r="F1545" s="321"/>
      <c r="G1545" s="321"/>
      <c r="H1545" s="321"/>
      <c r="I1545" s="321"/>
      <c r="N1545" s="321"/>
      <c r="O1545" s="321"/>
      <c r="P1545" s="321"/>
      <c r="Q1545" s="321"/>
      <c r="R1545" s="321"/>
      <c r="S1545" s="321"/>
      <c r="T1545" s="321"/>
      <c r="U1545" s="321"/>
      <c r="V1545" s="321"/>
      <c r="W1545" s="321"/>
      <c r="X1545" s="321"/>
      <c r="Y1545" s="321"/>
      <c r="Z1545" s="321"/>
      <c r="AA1545" s="321"/>
    </row>
    <row r="1546" spans="1:27" s="322" customFormat="1" ht="16">
      <c r="A1546" s="321" t="s">
        <v>81</v>
      </c>
      <c r="B1546" s="321"/>
      <c r="C1546" s="321">
        <v>30</v>
      </c>
      <c r="D1546" s="321">
        <f t="shared" si="41"/>
        <v>30</v>
      </c>
      <c r="E1546" s="321"/>
      <c r="F1546" s="321"/>
      <c r="G1546" s="321"/>
      <c r="H1546" s="321"/>
      <c r="I1546" s="321"/>
      <c r="N1546" s="321"/>
      <c r="O1546" s="321"/>
      <c r="P1546" s="321"/>
      <c r="Q1546" s="321"/>
      <c r="R1546" s="321"/>
      <c r="S1546" s="321"/>
      <c r="T1546" s="321"/>
      <c r="U1546" s="321"/>
      <c r="V1546" s="321"/>
      <c r="W1546" s="321"/>
      <c r="X1546" s="321"/>
      <c r="Y1546" s="321"/>
      <c r="Z1546" s="321"/>
      <c r="AA1546" s="321"/>
    </row>
    <row r="1547" spans="1:27" s="322" customFormat="1" ht="16">
      <c r="A1547" s="321" t="s">
        <v>853</v>
      </c>
      <c r="B1547" s="321"/>
      <c r="C1547" s="321">
        <v>90</v>
      </c>
      <c r="D1547" s="385">
        <f t="shared" si="41"/>
        <v>90</v>
      </c>
      <c r="E1547" s="321"/>
      <c r="F1547" s="321"/>
      <c r="G1547" s="321"/>
      <c r="H1547" s="321"/>
      <c r="I1547" s="321"/>
      <c r="N1547" s="321"/>
      <c r="O1547" s="321"/>
      <c r="P1547" s="321"/>
      <c r="Q1547" s="321"/>
      <c r="R1547" s="321"/>
      <c r="S1547" s="321"/>
      <c r="T1547" s="321"/>
      <c r="U1547" s="321"/>
      <c r="V1547" s="321"/>
      <c r="W1547" s="321"/>
      <c r="X1547" s="321"/>
      <c r="Y1547" s="321"/>
      <c r="Z1547" s="321"/>
      <c r="AA1547" s="321"/>
    </row>
    <row r="1548" spans="1:27" s="322" customFormat="1" ht="16">
      <c r="A1548" s="321" t="s">
        <v>854</v>
      </c>
      <c r="B1548" s="321"/>
      <c r="C1548" s="321">
        <v>120</v>
      </c>
      <c r="D1548" s="321"/>
      <c r="E1548" s="386">
        <f t="shared" ref="E1548:E1551" si="42">C1548</f>
        <v>120</v>
      </c>
      <c r="F1548" s="321"/>
      <c r="G1548" s="321"/>
      <c r="H1548" s="321"/>
      <c r="I1548" s="321"/>
      <c r="N1548" s="321"/>
      <c r="O1548" s="321"/>
      <c r="P1548" s="321"/>
      <c r="Q1548" s="321"/>
      <c r="R1548" s="321"/>
      <c r="S1548" s="321"/>
      <c r="T1548" s="321"/>
      <c r="U1548" s="321"/>
      <c r="V1548" s="321"/>
      <c r="W1548" s="321"/>
      <c r="X1548" s="321"/>
      <c r="Y1548" s="321"/>
      <c r="Z1548" s="321"/>
      <c r="AA1548" s="321"/>
    </row>
    <row r="1549" spans="1:27" s="322" customFormat="1" ht="16">
      <c r="A1549" s="321" t="s">
        <v>69</v>
      </c>
      <c r="B1549" s="321"/>
      <c r="C1549" s="321">
        <v>15</v>
      </c>
      <c r="D1549" s="321"/>
      <c r="E1549" s="386">
        <f t="shared" si="42"/>
        <v>15</v>
      </c>
      <c r="F1549" s="321"/>
      <c r="G1549" s="321"/>
      <c r="H1549" s="321"/>
      <c r="I1549" s="321"/>
      <c r="N1549" s="321"/>
      <c r="O1549" s="321"/>
      <c r="P1549" s="321"/>
      <c r="Q1549" s="321"/>
      <c r="R1549" s="321"/>
      <c r="S1549" s="321"/>
      <c r="T1549" s="321"/>
      <c r="U1549" s="321"/>
      <c r="V1549" s="321"/>
      <c r="W1549" s="321"/>
      <c r="X1549" s="321"/>
      <c r="Y1549" s="321"/>
      <c r="Z1549" s="321"/>
      <c r="AA1549" s="321"/>
    </row>
    <row r="1550" spans="1:27" s="322" customFormat="1" ht="16">
      <c r="A1550" s="321" t="s">
        <v>855</v>
      </c>
      <c r="B1550" s="321"/>
      <c r="C1550" s="321">
        <v>87</v>
      </c>
      <c r="D1550" s="321"/>
      <c r="E1550" s="321">
        <f t="shared" si="42"/>
        <v>87</v>
      </c>
      <c r="F1550" s="321"/>
      <c r="G1550" s="321"/>
      <c r="H1550" s="321"/>
      <c r="I1550" s="321"/>
      <c r="N1550" s="321"/>
      <c r="O1550" s="321"/>
      <c r="P1550" s="321"/>
      <c r="Q1550" s="321"/>
      <c r="R1550" s="321"/>
      <c r="S1550" s="321"/>
      <c r="T1550" s="321"/>
      <c r="U1550" s="321"/>
      <c r="V1550" s="321"/>
      <c r="W1550" s="321"/>
      <c r="X1550" s="321"/>
      <c r="Y1550" s="321"/>
      <c r="Z1550" s="321"/>
      <c r="AA1550" s="321"/>
    </row>
    <row r="1551" spans="1:27" s="322" customFormat="1" ht="16">
      <c r="A1551" s="321" t="s">
        <v>719</v>
      </c>
      <c r="B1551" s="321"/>
      <c r="C1551" s="321">
        <v>33</v>
      </c>
      <c r="D1551" s="321"/>
      <c r="E1551" s="386">
        <f t="shared" si="42"/>
        <v>33</v>
      </c>
      <c r="F1551" s="321"/>
      <c r="G1551" s="321"/>
      <c r="H1551" s="321"/>
      <c r="I1551" s="321"/>
      <c r="N1551" s="321"/>
      <c r="O1551" s="321"/>
      <c r="P1551" s="321"/>
      <c r="Q1551" s="321"/>
      <c r="R1551" s="321"/>
      <c r="S1551" s="321"/>
      <c r="T1551" s="321"/>
      <c r="U1551" s="321"/>
      <c r="V1551" s="321"/>
      <c r="W1551" s="321"/>
      <c r="X1551" s="321"/>
      <c r="Y1551" s="321"/>
      <c r="Z1551" s="321"/>
      <c r="AA1551" s="321"/>
    </row>
    <row r="1552" spans="1:27" s="322" customFormat="1" ht="16">
      <c r="A1552" s="321" t="s">
        <v>721</v>
      </c>
      <c r="B1552" s="321"/>
      <c r="C1552" s="321">
        <v>12</v>
      </c>
      <c r="D1552" s="385">
        <f>C1552</f>
        <v>12</v>
      </c>
      <c r="E1552" s="321"/>
      <c r="F1552" s="321"/>
      <c r="G1552" s="321"/>
      <c r="H1552" s="321"/>
      <c r="I1552" s="321"/>
      <c r="N1552" s="321"/>
      <c r="O1552" s="321"/>
      <c r="P1552" s="321"/>
      <c r="Q1552" s="321"/>
      <c r="R1552" s="321"/>
      <c r="S1552" s="321"/>
      <c r="T1552" s="321"/>
      <c r="U1552" s="321"/>
      <c r="V1552" s="321"/>
      <c r="W1552" s="321"/>
      <c r="X1552" s="321"/>
      <c r="Y1552" s="321"/>
      <c r="Z1552" s="321"/>
      <c r="AA1552" s="321"/>
    </row>
    <row r="1553" spans="1:27" s="322" customFormat="1" ht="16">
      <c r="A1553" s="321" t="s">
        <v>856</v>
      </c>
      <c r="B1553" s="321"/>
      <c r="C1553" s="321">
        <v>100</v>
      </c>
      <c r="D1553" s="321"/>
      <c r="E1553" s="321"/>
      <c r="F1553" s="321">
        <f t="shared" ref="F1553:F1554" si="43">C1553</f>
        <v>100</v>
      </c>
      <c r="G1553" s="321"/>
      <c r="H1553" s="321"/>
      <c r="I1553" s="321"/>
      <c r="N1553" s="321"/>
      <c r="O1553" s="321"/>
      <c r="P1553" s="321"/>
      <c r="Q1553" s="321"/>
      <c r="R1553" s="321"/>
      <c r="S1553" s="321"/>
      <c r="T1553" s="321"/>
      <c r="U1553" s="321"/>
      <c r="V1553" s="321"/>
      <c r="W1553" s="321"/>
      <c r="X1553" s="321"/>
      <c r="Y1553" s="321"/>
      <c r="Z1553" s="321"/>
      <c r="AA1553" s="321"/>
    </row>
    <row r="1554" spans="1:27" s="322" customFormat="1" ht="16">
      <c r="A1554" s="321" t="s">
        <v>857</v>
      </c>
      <c r="B1554" s="321"/>
      <c r="C1554" s="321">
        <v>20</v>
      </c>
      <c r="D1554" s="321"/>
      <c r="E1554" s="321"/>
      <c r="F1554" s="321">
        <f t="shared" si="43"/>
        <v>20</v>
      </c>
      <c r="G1554" s="321"/>
      <c r="H1554" s="321"/>
      <c r="I1554" s="321"/>
      <c r="N1554" s="321"/>
      <c r="O1554" s="321"/>
      <c r="P1554" s="321"/>
      <c r="Q1554" s="321"/>
      <c r="R1554" s="321"/>
      <c r="S1554" s="321"/>
      <c r="T1554" s="321"/>
      <c r="U1554" s="321"/>
      <c r="V1554" s="321"/>
      <c r="W1554" s="321"/>
      <c r="X1554" s="321"/>
      <c r="Y1554" s="321"/>
      <c r="Z1554" s="321"/>
      <c r="AA1554" s="321"/>
    </row>
    <row r="1555" spans="1:27" s="322" customFormat="1" ht="16">
      <c r="A1555" s="321" t="s">
        <v>566</v>
      </c>
      <c r="B1555" s="321"/>
      <c r="C1555" s="321">
        <v>300</v>
      </c>
      <c r="D1555" s="321"/>
      <c r="E1555" s="321"/>
      <c r="F1555" s="321"/>
      <c r="G1555" s="321">
        <f>C1555</f>
        <v>300</v>
      </c>
      <c r="H1555" s="321"/>
      <c r="I1555" s="321"/>
      <c r="N1555" s="321"/>
      <c r="O1555" s="321"/>
      <c r="P1555" s="321"/>
      <c r="Q1555" s="321"/>
      <c r="R1555" s="321"/>
      <c r="S1555" s="321"/>
      <c r="T1555" s="321"/>
      <c r="U1555" s="321"/>
      <c r="V1555" s="321"/>
      <c r="W1555" s="321"/>
      <c r="X1555" s="321"/>
      <c r="Y1555" s="321"/>
      <c r="Z1555" s="321"/>
      <c r="AA1555" s="321"/>
    </row>
    <row r="1556" spans="1:27" s="322" customFormat="1" ht="16">
      <c r="A1556" s="321" t="s">
        <v>568</v>
      </c>
      <c r="B1556" s="321"/>
      <c r="C1556" s="321">
        <v>20</v>
      </c>
      <c r="D1556" s="321"/>
      <c r="E1556" s="321"/>
      <c r="F1556" s="321"/>
      <c r="G1556" s="325">
        <f t="shared" ref="G1556:G1557" si="44">-C1556</f>
        <v>-20</v>
      </c>
      <c r="H1556" s="321"/>
      <c r="I1556" s="321"/>
      <c r="N1556" s="321"/>
      <c r="O1556" s="321"/>
      <c r="P1556" s="321"/>
      <c r="Q1556" s="321"/>
      <c r="R1556" s="321"/>
      <c r="S1556" s="321"/>
      <c r="T1556" s="321"/>
      <c r="U1556" s="321"/>
      <c r="V1556" s="321"/>
      <c r="W1556" s="321"/>
      <c r="X1556" s="321"/>
      <c r="Y1556" s="321"/>
      <c r="Z1556" s="321"/>
      <c r="AA1556" s="321"/>
    </row>
    <row r="1557" spans="1:27" s="322" customFormat="1" ht="16">
      <c r="A1557" s="321" t="s">
        <v>628</v>
      </c>
      <c r="B1557" s="321"/>
      <c r="C1557" s="321">
        <v>10</v>
      </c>
      <c r="D1557" s="321"/>
      <c r="E1557" s="321"/>
      <c r="F1557" s="321"/>
      <c r="G1557" s="325">
        <f t="shared" si="44"/>
        <v>-10</v>
      </c>
      <c r="H1557" s="321"/>
      <c r="I1557" s="321"/>
      <c r="N1557" s="321"/>
      <c r="O1557" s="321"/>
      <c r="P1557" s="321"/>
      <c r="Q1557" s="321"/>
      <c r="R1557" s="321"/>
      <c r="S1557" s="321"/>
      <c r="T1557" s="321"/>
      <c r="U1557" s="321"/>
      <c r="V1557" s="321"/>
      <c r="W1557" s="321"/>
      <c r="X1557" s="321"/>
      <c r="Y1557" s="321"/>
      <c r="Z1557" s="321"/>
      <c r="AA1557" s="321"/>
    </row>
    <row r="1558" spans="1:27" s="322" customFormat="1" ht="16">
      <c r="A1558" s="321" t="s">
        <v>858</v>
      </c>
      <c r="B1558" s="321"/>
      <c r="C1558" s="321">
        <v>70</v>
      </c>
      <c r="D1558" s="321"/>
      <c r="E1558" s="321"/>
      <c r="F1558" s="321"/>
      <c r="G1558" s="321"/>
      <c r="H1558" s="321">
        <f t="shared" ref="H1558:H1564" si="45">C1558</f>
        <v>70</v>
      </c>
      <c r="I1558" s="321"/>
      <c r="N1558" s="321"/>
      <c r="O1558" s="321"/>
      <c r="P1558" s="321"/>
      <c r="Q1558" s="321"/>
      <c r="R1558" s="321"/>
      <c r="S1558" s="321"/>
      <c r="T1558" s="321"/>
      <c r="U1558" s="321"/>
      <c r="V1558" s="321"/>
      <c r="W1558" s="321"/>
      <c r="X1558" s="321"/>
      <c r="Y1558" s="321"/>
      <c r="Z1558" s="321"/>
      <c r="AA1558" s="321"/>
    </row>
    <row r="1559" spans="1:27" s="322" customFormat="1" ht="16">
      <c r="A1559" s="321" t="s">
        <v>555</v>
      </c>
      <c r="B1559" s="321"/>
      <c r="C1559" s="321">
        <v>15</v>
      </c>
      <c r="D1559" s="321"/>
      <c r="E1559" s="321"/>
      <c r="F1559" s="321"/>
      <c r="G1559" s="321"/>
      <c r="H1559" s="321">
        <f t="shared" si="45"/>
        <v>15</v>
      </c>
      <c r="I1559" s="321"/>
      <c r="N1559" s="321"/>
      <c r="O1559" s="321"/>
      <c r="P1559" s="321"/>
      <c r="Q1559" s="321"/>
      <c r="R1559" s="321"/>
      <c r="S1559" s="321"/>
      <c r="T1559" s="321"/>
      <c r="U1559" s="321"/>
      <c r="V1559" s="321"/>
      <c r="W1559" s="321"/>
      <c r="X1559" s="321"/>
      <c r="Y1559" s="321"/>
      <c r="Z1559" s="321"/>
      <c r="AA1559" s="321"/>
    </row>
    <row r="1560" spans="1:27" s="322" customFormat="1" ht="16">
      <c r="A1560" s="321" t="s">
        <v>554</v>
      </c>
      <c r="B1560" s="321"/>
      <c r="C1560" s="321">
        <v>12</v>
      </c>
      <c r="D1560" s="321"/>
      <c r="E1560" s="321"/>
      <c r="F1560" s="321"/>
      <c r="G1560" s="321"/>
      <c r="H1560" s="321">
        <f t="shared" si="45"/>
        <v>12</v>
      </c>
      <c r="I1560" s="321"/>
      <c r="N1560" s="321"/>
      <c r="O1560" s="321"/>
      <c r="P1560" s="321"/>
      <c r="Q1560" s="321"/>
      <c r="R1560" s="321"/>
      <c r="S1560" s="321"/>
      <c r="T1560" s="321"/>
      <c r="U1560" s="321"/>
      <c r="V1560" s="321"/>
      <c r="W1560" s="321"/>
      <c r="X1560" s="321"/>
      <c r="Y1560" s="321"/>
      <c r="Z1560" s="321"/>
      <c r="AA1560" s="321"/>
    </row>
    <row r="1561" spans="1:27" s="322" customFormat="1" ht="16">
      <c r="A1561" s="321" t="s">
        <v>575</v>
      </c>
      <c r="B1561" s="321"/>
      <c r="C1561" s="321">
        <v>11</v>
      </c>
      <c r="D1561" s="321"/>
      <c r="E1561" s="321"/>
      <c r="F1561" s="321"/>
      <c r="G1561" s="321"/>
      <c r="H1561" s="321">
        <f t="shared" si="45"/>
        <v>11</v>
      </c>
      <c r="I1561" s="321"/>
      <c r="N1561" s="321"/>
      <c r="O1561" s="321"/>
      <c r="P1561" s="321"/>
      <c r="Q1561" s="321"/>
      <c r="R1561" s="321"/>
      <c r="S1561" s="321"/>
      <c r="T1561" s="321"/>
      <c r="U1561" s="321"/>
      <c r="V1561" s="321"/>
      <c r="W1561" s="321"/>
      <c r="X1561" s="321"/>
      <c r="Y1561" s="321"/>
      <c r="Z1561" s="321"/>
      <c r="AA1561" s="321"/>
    </row>
    <row r="1562" spans="1:27" s="322" customFormat="1" ht="16">
      <c r="A1562" s="321" t="s">
        <v>859</v>
      </c>
      <c r="B1562" s="321"/>
      <c r="C1562" s="321">
        <v>13</v>
      </c>
      <c r="D1562" s="321"/>
      <c r="E1562" s="321"/>
      <c r="F1562" s="321"/>
      <c r="G1562" s="321"/>
      <c r="H1562" s="321">
        <f t="shared" si="45"/>
        <v>13</v>
      </c>
      <c r="I1562" s="321"/>
      <c r="N1562" s="321"/>
      <c r="O1562" s="321"/>
      <c r="P1562" s="321"/>
      <c r="Q1562" s="321"/>
      <c r="R1562" s="321"/>
      <c r="S1562" s="321"/>
      <c r="T1562" s="321"/>
      <c r="U1562" s="321"/>
      <c r="V1562" s="321"/>
      <c r="W1562" s="321"/>
      <c r="X1562" s="321"/>
      <c r="Y1562" s="321"/>
      <c r="Z1562" s="321"/>
      <c r="AA1562" s="321"/>
    </row>
    <row r="1563" spans="1:27" s="322" customFormat="1" ht="16">
      <c r="A1563" s="321" t="s">
        <v>860</v>
      </c>
      <c r="B1563" s="321"/>
      <c r="C1563" s="321">
        <v>9</v>
      </c>
      <c r="D1563" s="321"/>
      <c r="E1563" s="321"/>
      <c r="F1563" s="321"/>
      <c r="G1563" s="321"/>
      <c r="H1563" s="321">
        <f t="shared" si="45"/>
        <v>9</v>
      </c>
      <c r="I1563" s="321"/>
      <c r="N1563" s="321"/>
      <c r="O1563" s="321"/>
      <c r="P1563" s="321"/>
      <c r="Q1563" s="321"/>
      <c r="R1563" s="321"/>
      <c r="S1563" s="321"/>
      <c r="T1563" s="321"/>
      <c r="U1563" s="321"/>
      <c r="V1563" s="321"/>
      <c r="W1563" s="321"/>
      <c r="X1563" s="321"/>
      <c r="Y1563" s="321"/>
      <c r="Z1563" s="321"/>
      <c r="AA1563" s="321"/>
    </row>
    <row r="1564" spans="1:27" s="322" customFormat="1" ht="16">
      <c r="A1564" s="321" t="s">
        <v>475</v>
      </c>
      <c r="B1564" s="321"/>
      <c r="C1564" s="321">
        <v>5</v>
      </c>
      <c r="D1564" s="321"/>
      <c r="E1564" s="321"/>
      <c r="F1564" s="321"/>
      <c r="G1564" s="321"/>
      <c r="H1564" s="321">
        <f t="shared" si="45"/>
        <v>5</v>
      </c>
      <c r="I1564" s="321"/>
      <c r="N1564" s="321"/>
      <c r="O1564" s="321"/>
      <c r="P1564" s="321"/>
      <c r="Q1564" s="321"/>
      <c r="R1564" s="321"/>
      <c r="S1564" s="321"/>
      <c r="T1564" s="321"/>
      <c r="U1564" s="321"/>
      <c r="V1564" s="321"/>
      <c r="W1564" s="321"/>
      <c r="X1564" s="321"/>
      <c r="Y1564" s="321"/>
      <c r="Z1564" s="321"/>
      <c r="AA1564" s="321"/>
    </row>
    <row r="1565" spans="1:27" s="322" customFormat="1" ht="16">
      <c r="A1565" s="321" t="s">
        <v>581</v>
      </c>
      <c r="B1565" s="321"/>
      <c r="C1565" s="321">
        <v>6</v>
      </c>
      <c r="D1565" s="321"/>
      <c r="E1565" s="321"/>
      <c r="F1565" s="321"/>
      <c r="G1565" s="321">
        <f t="shared" ref="G1565:G1568" si="46">C1565</f>
        <v>6</v>
      </c>
      <c r="H1565" s="321"/>
      <c r="I1565" s="321"/>
      <c r="N1565" s="321"/>
      <c r="O1565" s="321"/>
      <c r="P1565" s="321"/>
      <c r="Q1565" s="321"/>
      <c r="R1565" s="321"/>
      <c r="S1565" s="321"/>
      <c r="T1565" s="321"/>
      <c r="U1565" s="321"/>
      <c r="V1565" s="321"/>
      <c r="W1565" s="321"/>
      <c r="X1565" s="321"/>
      <c r="Y1565" s="321"/>
      <c r="Z1565" s="321"/>
      <c r="AA1565" s="321"/>
    </row>
    <row r="1566" spans="1:27" s="322" customFormat="1" ht="16">
      <c r="A1566" s="321" t="s">
        <v>861</v>
      </c>
      <c r="B1566" s="321"/>
      <c r="C1566" s="321">
        <v>80</v>
      </c>
      <c r="D1566" s="321"/>
      <c r="E1566" s="321"/>
      <c r="F1566" s="321"/>
      <c r="G1566" s="321">
        <f t="shared" si="46"/>
        <v>80</v>
      </c>
      <c r="H1566" s="321"/>
      <c r="I1566" s="321"/>
      <c r="N1566" s="321"/>
      <c r="O1566" s="321"/>
      <c r="P1566" s="321"/>
      <c r="Q1566" s="321"/>
      <c r="R1566" s="321"/>
      <c r="S1566" s="321"/>
      <c r="T1566" s="321"/>
      <c r="U1566" s="321"/>
      <c r="V1566" s="321"/>
      <c r="W1566" s="321"/>
      <c r="X1566" s="321"/>
      <c r="Y1566" s="321"/>
      <c r="Z1566" s="321"/>
      <c r="AA1566" s="321"/>
    </row>
    <row r="1567" spans="1:27" s="322" customFormat="1" ht="16">
      <c r="A1567" s="321" t="s">
        <v>862</v>
      </c>
      <c r="B1567" s="321"/>
      <c r="C1567" s="321">
        <v>15</v>
      </c>
      <c r="D1567" s="321"/>
      <c r="E1567" s="321"/>
      <c r="F1567" s="321"/>
      <c r="G1567" s="321">
        <f t="shared" si="46"/>
        <v>15</v>
      </c>
      <c r="H1567" s="321"/>
      <c r="I1567" s="321"/>
      <c r="N1567" s="321"/>
      <c r="O1567" s="321"/>
      <c r="P1567" s="321"/>
      <c r="Q1567" s="321"/>
      <c r="R1567" s="321"/>
      <c r="S1567" s="321"/>
      <c r="T1567" s="321"/>
      <c r="U1567" s="321"/>
      <c r="V1567" s="321"/>
      <c r="W1567" s="321"/>
      <c r="X1567" s="321"/>
      <c r="Y1567" s="321"/>
      <c r="Z1567" s="321"/>
      <c r="AA1567" s="321"/>
    </row>
    <row r="1568" spans="1:27" s="322" customFormat="1" ht="16">
      <c r="A1568" s="321" t="s">
        <v>582</v>
      </c>
      <c r="B1568" s="321"/>
      <c r="C1568" s="321">
        <v>16</v>
      </c>
      <c r="D1568" s="321"/>
      <c r="E1568" s="321"/>
      <c r="F1568" s="321"/>
      <c r="G1568" s="321">
        <f t="shared" si="46"/>
        <v>16</v>
      </c>
      <c r="H1568" s="321"/>
      <c r="I1568" s="321"/>
      <c r="J1568" s="321"/>
      <c r="K1568" s="321"/>
      <c r="L1568" s="321"/>
      <c r="M1568" s="321"/>
      <c r="N1568" s="321"/>
      <c r="O1568" s="321"/>
      <c r="P1568" s="321"/>
      <c r="Q1568" s="321"/>
      <c r="R1568" s="321"/>
      <c r="S1568" s="321"/>
      <c r="T1568" s="321"/>
      <c r="U1568" s="321"/>
      <c r="V1568" s="321"/>
      <c r="W1568" s="321"/>
      <c r="X1568" s="321"/>
      <c r="Y1568" s="321"/>
      <c r="Z1568" s="321"/>
      <c r="AA1568" s="321"/>
    </row>
    <row r="1569" spans="1:27" s="322" customFormat="1" ht="16">
      <c r="A1569" s="321" t="s">
        <v>579</v>
      </c>
      <c r="B1569" s="321"/>
      <c r="C1569" s="321">
        <v>45</v>
      </c>
      <c r="D1569" s="321"/>
      <c r="E1569" s="321"/>
      <c r="F1569" s="321"/>
      <c r="G1569" s="321"/>
      <c r="H1569" s="321">
        <f>C1569</f>
        <v>45</v>
      </c>
      <c r="I1569" s="321"/>
      <c r="J1569" s="321"/>
      <c r="K1569" s="321"/>
      <c r="L1569" s="321"/>
      <c r="M1569" s="321"/>
      <c r="N1569" s="321"/>
      <c r="O1569" s="321"/>
      <c r="P1569" s="321"/>
      <c r="Q1569" s="321"/>
      <c r="R1569" s="321"/>
      <c r="S1569" s="321"/>
      <c r="T1569" s="321"/>
      <c r="U1569" s="321"/>
      <c r="V1569" s="321"/>
      <c r="W1569" s="321"/>
      <c r="X1569" s="321"/>
      <c r="Y1569" s="321"/>
      <c r="Z1569" s="321"/>
      <c r="AA1569" s="321"/>
    </row>
    <row r="1570" spans="1:27" s="322" customFormat="1" ht="16">
      <c r="A1570" s="321" t="s">
        <v>863</v>
      </c>
      <c r="B1570" s="321"/>
      <c r="C1570" s="384">
        <v>40</v>
      </c>
      <c r="D1570" s="321"/>
      <c r="E1570" s="321"/>
      <c r="F1570" s="325">
        <f>-C1570</f>
        <v>-40</v>
      </c>
      <c r="G1570" s="321"/>
      <c r="H1570" s="321"/>
      <c r="I1570" s="321"/>
      <c r="J1570" s="321"/>
      <c r="K1570" s="321"/>
      <c r="L1570" s="321"/>
      <c r="M1570" s="321"/>
      <c r="N1570" s="321"/>
      <c r="O1570" s="321"/>
      <c r="P1570" s="321"/>
      <c r="Q1570" s="321"/>
      <c r="R1570" s="321"/>
      <c r="S1570" s="321"/>
      <c r="T1570" s="321"/>
      <c r="U1570" s="321"/>
      <c r="V1570" s="321"/>
      <c r="W1570" s="321"/>
      <c r="X1570" s="321"/>
      <c r="Y1570" s="321"/>
      <c r="Z1570" s="321"/>
      <c r="AA1570" s="321"/>
    </row>
    <row r="1571" spans="1:27" s="322" customFormat="1" ht="16">
      <c r="A1571" s="321" t="s">
        <v>864</v>
      </c>
      <c r="B1571" s="321"/>
      <c r="C1571" s="384" t="s">
        <v>726</v>
      </c>
      <c r="D1571" s="321"/>
      <c r="E1571" s="321"/>
      <c r="F1571" s="387" t="s">
        <v>726</v>
      </c>
      <c r="G1571" s="321"/>
      <c r="H1571" s="321"/>
      <c r="I1571" s="321"/>
      <c r="J1571" s="321"/>
      <c r="K1571" s="321"/>
      <c r="L1571" s="321"/>
      <c r="M1571" s="321"/>
      <c r="N1571" s="321"/>
      <c r="O1571" s="321"/>
      <c r="P1571" s="321"/>
      <c r="Q1571" s="321"/>
      <c r="R1571" s="321"/>
      <c r="S1571" s="321"/>
      <c r="T1571" s="321"/>
      <c r="U1571" s="321"/>
      <c r="V1571" s="321"/>
      <c r="W1571" s="321"/>
      <c r="X1571" s="321"/>
      <c r="Y1571" s="321"/>
      <c r="Z1571" s="321"/>
      <c r="AA1571" s="321"/>
    </row>
    <row r="1572" spans="1:27" s="303" customFormat="1" ht="16">
      <c r="A1572" s="336" t="s">
        <v>495</v>
      </c>
      <c r="B1572" s="336"/>
      <c r="C1572" s="336"/>
      <c r="D1572" s="388">
        <f t="shared" ref="D1572:E1572" si="47">SUM(D1537:D1571)</f>
        <v>2167</v>
      </c>
      <c r="E1572" s="388">
        <f t="shared" si="47"/>
        <v>255</v>
      </c>
      <c r="F1572" s="389" t="s">
        <v>867</v>
      </c>
      <c r="G1572" s="388">
        <f t="shared" ref="G1572:H1572" si="48">SUM(G1537:G1571)</f>
        <v>387</v>
      </c>
      <c r="H1572" s="388">
        <f t="shared" si="48"/>
        <v>180</v>
      </c>
      <c r="I1572" s="336"/>
      <c r="J1572" s="336"/>
      <c r="K1572" s="336"/>
      <c r="L1572" s="336"/>
      <c r="M1572" s="336"/>
      <c r="N1572" s="336"/>
      <c r="O1572" s="336"/>
      <c r="P1572" s="336"/>
      <c r="Q1572" s="336"/>
      <c r="R1572" s="336"/>
      <c r="S1572" s="336"/>
      <c r="T1572" s="336"/>
      <c r="U1572" s="336"/>
      <c r="V1572" s="336"/>
      <c r="W1572" s="336"/>
      <c r="X1572" s="336"/>
      <c r="Y1572" s="336"/>
      <c r="Z1572" s="336"/>
      <c r="AA1572" s="336"/>
    </row>
    <row r="1573" spans="1:27" s="303" customFormat="1" ht="16">
      <c r="A1573" s="315"/>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868</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7" thickBot="1">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90" t="s">
        <v>869</v>
      </c>
      <c r="B1576" s="391"/>
      <c r="C1576" s="391"/>
      <c r="D1576" s="392"/>
      <c r="E1576" s="315"/>
      <c r="F1576" s="344" t="s">
        <v>870</v>
      </c>
      <c r="G1576" s="346"/>
      <c r="H1576" s="346"/>
      <c r="I1576" s="346"/>
      <c r="J1576" s="346"/>
      <c r="K1576" s="346"/>
      <c r="L1576" s="347"/>
      <c r="M1576" s="315"/>
      <c r="N1576" s="315"/>
      <c r="O1576" s="315"/>
      <c r="P1576" s="315"/>
      <c r="Q1576" s="315"/>
      <c r="R1576" s="315"/>
      <c r="S1576" s="315"/>
      <c r="T1576" s="315"/>
      <c r="U1576" s="315"/>
      <c r="V1576" s="315"/>
      <c r="W1576" s="315"/>
      <c r="X1576" s="315"/>
      <c r="Y1576" s="315"/>
      <c r="Z1576" s="315"/>
      <c r="AA1576" s="315"/>
    </row>
    <row r="1577" spans="1:27" s="303" customFormat="1" ht="16">
      <c r="A1577" s="393"/>
      <c r="B1577" s="394"/>
      <c r="C1577" s="394"/>
      <c r="D1577" s="395"/>
      <c r="E1577" s="315"/>
      <c r="F1577" s="348"/>
      <c r="G1577" s="349"/>
      <c r="H1577" s="349"/>
      <c r="I1577" s="349"/>
      <c r="J1577" s="349"/>
      <c r="K1577" s="349"/>
      <c r="L1577" s="350"/>
      <c r="M1577" s="315"/>
      <c r="N1577" s="315"/>
      <c r="O1577" s="315"/>
      <c r="P1577" s="315"/>
      <c r="Q1577" s="315"/>
      <c r="R1577" s="315"/>
      <c r="S1577" s="315"/>
      <c r="T1577" s="315"/>
      <c r="U1577" s="315"/>
      <c r="V1577" s="315"/>
      <c r="W1577" s="315"/>
      <c r="X1577" s="315"/>
      <c r="Y1577" s="315"/>
      <c r="Z1577" s="315"/>
      <c r="AA1577" s="315"/>
    </row>
    <row r="1578" spans="1:27" s="303" customFormat="1" ht="16">
      <c r="A1578" s="393" t="s">
        <v>558</v>
      </c>
      <c r="B1578" s="394"/>
      <c r="C1578" s="396">
        <f>G1555+G1556+G1557</f>
        <v>270</v>
      </c>
      <c r="D1578" s="395" t="s">
        <v>770</v>
      </c>
      <c r="E1578" s="315"/>
      <c r="F1578" s="351" t="s">
        <v>131</v>
      </c>
      <c r="G1578" s="349"/>
      <c r="H1578" s="349"/>
      <c r="I1578" s="353" t="s">
        <v>550</v>
      </c>
      <c r="J1578" s="349"/>
      <c r="K1578" s="349"/>
      <c r="L1578" s="350"/>
      <c r="M1578" s="315"/>
      <c r="N1578" s="315"/>
      <c r="O1578" s="315"/>
      <c r="P1578" s="315"/>
      <c r="Q1578" s="315"/>
      <c r="R1578" s="315"/>
      <c r="S1578" s="315"/>
      <c r="T1578" s="315"/>
      <c r="U1578" s="315"/>
      <c r="V1578" s="315"/>
      <c r="W1578" s="315"/>
      <c r="X1578" s="315"/>
      <c r="Y1578" s="315"/>
      <c r="Z1578" s="315"/>
      <c r="AA1578" s="315"/>
    </row>
    <row r="1579" spans="1:27" s="303" customFormat="1" ht="16">
      <c r="A1579" s="393" t="s">
        <v>858</v>
      </c>
      <c r="B1579" s="394"/>
      <c r="C1579" s="396">
        <f>-H1558</f>
        <v>-70</v>
      </c>
      <c r="D1579" s="395"/>
      <c r="E1579" s="315"/>
      <c r="F1579" s="348"/>
      <c r="G1579" s="349"/>
      <c r="H1579" s="349"/>
      <c r="I1579" s="349"/>
      <c r="J1579" s="349"/>
      <c r="K1579" s="349"/>
      <c r="L1579" s="350"/>
      <c r="M1579" s="315"/>
      <c r="N1579" s="315"/>
      <c r="O1579" s="315"/>
      <c r="P1579" s="315"/>
      <c r="Q1579" s="315"/>
      <c r="R1579" s="315"/>
      <c r="S1579" s="315"/>
      <c r="T1579" s="315"/>
      <c r="U1579" s="315"/>
      <c r="V1579" s="315"/>
      <c r="W1579" s="315"/>
      <c r="X1579" s="315"/>
      <c r="Y1579" s="315"/>
      <c r="Z1579" s="315"/>
      <c r="AA1579" s="315"/>
    </row>
    <row r="1580" spans="1:27" s="303" customFormat="1" ht="16">
      <c r="A1580" s="393" t="s">
        <v>559</v>
      </c>
      <c r="B1580" s="394"/>
      <c r="C1580" s="397">
        <f>C1578+C1579</f>
        <v>200</v>
      </c>
      <c r="D1580" s="395"/>
      <c r="E1580" s="315"/>
      <c r="F1580" s="351" t="s">
        <v>62</v>
      </c>
      <c r="G1580" s="349"/>
      <c r="H1580" s="349"/>
      <c r="I1580" s="353" t="s">
        <v>63</v>
      </c>
      <c r="J1580" s="349"/>
      <c r="K1580" s="349"/>
      <c r="L1580" s="350"/>
      <c r="M1580" s="315"/>
      <c r="N1580" s="315"/>
      <c r="O1580" s="315"/>
      <c r="P1580" s="315"/>
      <c r="Q1580" s="315"/>
      <c r="R1580" s="315"/>
      <c r="S1580" s="315"/>
      <c r="T1580" s="315"/>
      <c r="U1580" s="315"/>
      <c r="V1580" s="315"/>
      <c r="W1580" s="315"/>
      <c r="X1580" s="315"/>
      <c r="Y1580" s="315"/>
      <c r="Z1580" s="315"/>
      <c r="AA1580" s="315"/>
    </row>
    <row r="1581" spans="1:27" s="303" customFormat="1" ht="16">
      <c r="A1581" s="393" t="s">
        <v>871</v>
      </c>
      <c r="B1581" s="394"/>
      <c r="C1581" s="396">
        <f>-(H1559+H1563)</f>
        <v>-24</v>
      </c>
      <c r="D1581" s="395" t="s">
        <v>774</v>
      </c>
      <c r="E1581" s="315"/>
      <c r="F1581" s="348" t="s">
        <v>66</v>
      </c>
      <c r="G1581" s="357">
        <f>D1538+D1541</f>
        <v>130</v>
      </c>
      <c r="H1581" s="349" t="s">
        <v>781</v>
      </c>
      <c r="I1581" s="349" t="s">
        <v>69</v>
      </c>
      <c r="J1581" s="352"/>
      <c r="K1581" s="357">
        <f>E1549</f>
        <v>15</v>
      </c>
      <c r="L1581" s="350"/>
      <c r="M1581" s="315"/>
      <c r="N1581" s="315"/>
      <c r="O1581" s="315"/>
      <c r="P1581" s="315"/>
      <c r="Q1581" s="315"/>
      <c r="R1581" s="315"/>
      <c r="S1581" s="315"/>
      <c r="T1581" s="315"/>
      <c r="U1581" s="315"/>
      <c r="V1581" s="315"/>
      <c r="W1581" s="315"/>
      <c r="X1581" s="315"/>
      <c r="Y1581" s="315"/>
      <c r="Z1581" s="315"/>
      <c r="AA1581" s="315"/>
    </row>
    <row r="1582" spans="1:27" s="303" customFormat="1" ht="16">
      <c r="A1582" s="393" t="s">
        <v>560</v>
      </c>
      <c r="B1582" s="394"/>
      <c r="C1582" s="396">
        <f>-(H1560+H1561+H1562)</f>
        <v>-36</v>
      </c>
      <c r="D1582" s="395" t="s">
        <v>776</v>
      </c>
      <c r="E1582" s="315"/>
      <c r="F1582" s="348" t="s">
        <v>493</v>
      </c>
      <c r="G1582" s="357">
        <f>D1537</f>
        <v>230</v>
      </c>
      <c r="H1582" s="349"/>
      <c r="I1582" s="349" t="s">
        <v>552</v>
      </c>
      <c r="J1582" s="352"/>
      <c r="K1582" s="357">
        <f>E1548+E1551</f>
        <v>153</v>
      </c>
      <c r="L1582" s="350" t="s">
        <v>775</v>
      </c>
      <c r="M1582" s="315"/>
      <c r="N1582" s="315"/>
      <c r="O1582" s="315"/>
      <c r="P1582" s="315"/>
      <c r="Q1582" s="315"/>
      <c r="R1582" s="315"/>
      <c r="S1582" s="315"/>
      <c r="T1582" s="315"/>
      <c r="U1582" s="315"/>
      <c r="V1582" s="315"/>
      <c r="W1582" s="315"/>
      <c r="X1582" s="315"/>
      <c r="Y1582" s="315"/>
      <c r="Z1582" s="315"/>
      <c r="AA1582" s="315"/>
    </row>
    <row r="1583" spans="1:27" s="303" customFormat="1" ht="16">
      <c r="A1583" s="393" t="s">
        <v>600</v>
      </c>
      <c r="B1583" s="394"/>
      <c r="C1583" s="396">
        <f>G1566+G1567+G1568</f>
        <v>111</v>
      </c>
      <c r="D1583" s="395" t="s">
        <v>779</v>
      </c>
      <c r="E1583" s="315"/>
      <c r="F1583" s="348" t="s">
        <v>553</v>
      </c>
      <c r="G1583" s="357">
        <v>102</v>
      </c>
      <c r="H1583" s="349" t="s">
        <v>783</v>
      </c>
      <c r="I1583" s="349" t="s">
        <v>495</v>
      </c>
      <c r="J1583" s="352"/>
      <c r="K1583" s="360">
        <f>K1581+K1582</f>
        <v>168</v>
      </c>
      <c r="L1583" s="350"/>
      <c r="M1583" s="315"/>
      <c r="N1583" s="315"/>
      <c r="O1583" s="315"/>
      <c r="P1583" s="315"/>
      <c r="Q1583" s="315"/>
      <c r="R1583" s="315"/>
      <c r="S1583" s="315"/>
      <c r="T1583" s="315"/>
      <c r="U1583" s="315"/>
      <c r="V1583" s="315"/>
      <c r="W1583" s="315"/>
      <c r="X1583" s="315"/>
      <c r="Y1583" s="315"/>
      <c r="Z1583" s="315"/>
      <c r="AA1583" s="315"/>
    </row>
    <row r="1584" spans="1:27" s="303" customFormat="1" ht="16">
      <c r="A1584" s="393" t="s">
        <v>458</v>
      </c>
      <c r="B1584" s="394"/>
      <c r="C1584" s="397">
        <f>C1580+C1581+C1582+C1583</f>
        <v>251</v>
      </c>
      <c r="D1584" s="395"/>
      <c r="E1584" s="315"/>
      <c r="F1584" s="348" t="s">
        <v>557</v>
      </c>
      <c r="G1584" s="357">
        <f>D1544</f>
        <v>95</v>
      </c>
      <c r="H1584" s="349"/>
      <c r="I1584" s="349"/>
      <c r="J1584" s="352"/>
      <c r="K1584" s="398"/>
      <c r="L1584" s="350"/>
      <c r="M1584" s="315"/>
      <c r="N1584" s="315"/>
      <c r="O1584" s="315"/>
      <c r="P1584" s="315"/>
      <c r="Q1584" s="315"/>
      <c r="R1584" s="315"/>
      <c r="S1584" s="315"/>
      <c r="T1584" s="315"/>
      <c r="U1584" s="315"/>
      <c r="V1584" s="315"/>
      <c r="W1584" s="315"/>
      <c r="X1584" s="315"/>
      <c r="Y1584" s="315"/>
      <c r="Z1584" s="315"/>
      <c r="AA1584" s="315"/>
    </row>
    <row r="1585" spans="1:27" s="303" customFormat="1" ht="16">
      <c r="A1585" s="393" t="s">
        <v>461</v>
      </c>
      <c r="B1585" s="394"/>
      <c r="C1585" s="396">
        <v>-5</v>
      </c>
      <c r="D1585" s="395"/>
      <c r="E1585" s="315"/>
      <c r="F1585" s="348" t="s">
        <v>495</v>
      </c>
      <c r="G1585" s="360">
        <f>SUM(G1581:G1584)</f>
        <v>557</v>
      </c>
      <c r="H1585" s="349"/>
      <c r="I1585" s="349"/>
      <c r="J1585" s="352"/>
      <c r="K1585" s="398"/>
      <c r="L1585" s="350"/>
      <c r="M1585" s="315"/>
      <c r="N1585" s="315"/>
      <c r="O1585" s="315"/>
      <c r="P1585" s="315"/>
      <c r="Q1585" s="315"/>
      <c r="R1585" s="315"/>
      <c r="S1585" s="315"/>
      <c r="T1585" s="315"/>
      <c r="U1585" s="315"/>
      <c r="V1585" s="315"/>
      <c r="W1585" s="315"/>
      <c r="X1585" s="315"/>
      <c r="Y1585" s="315"/>
      <c r="Z1585" s="315"/>
      <c r="AA1585" s="315"/>
    </row>
    <row r="1586" spans="1:27" s="303" customFormat="1" ht="16">
      <c r="A1586" s="393" t="s">
        <v>606</v>
      </c>
      <c r="B1586" s="394"/>
      <c r="C1586" s="399">
        <f>G1565</f>
        <v>6</v>
      </c>
      <c r="D1586" s="395"/>
      <c r="E1586" s="315"/>
      <c r="F1586" s="348"/>
      <c r="G1586" s="398"/>
      <c r="H1586" s="349"/>
      <c r="I1586" s="349"/>
      <c r="J1586" s="352"/>
      <c r="K1586" s="398"/>
      <c r="L1586" s="350"/>
      <c r="M1586" s="315"/>
      <c r="N1586" s="315"/>
      <c r="O1586" s="315"/>
      <c r="P1586" s="315"/>
      <c r="Q1586" s="315"/>
      <c r="R1586" s="315"/>
      <c r="S1586" s="315"/>
      <c r="T1586" s="315"/>
      <c r="U1586" s="315"/>
      <c r="V1586" s="315"/>
      <c r="W1586" s="315"/>
      <c r="X1586" s="315"/>
      <c r="Y1586" s="315"/>
      <c r="Z1586" s="315"/>
      <c r="AA1586" s="315"/>
    </row>
    <row r="1587" spans="1:27" s="303" customFormat="1" ht="16">
      <c r="A1587" s="393" t="s">
        <v>463</v>
      </c>
      <c r="B1587" s="394"/>
      <c r="C1587" s="397">
        <f>C1584+C1585+C1586</f>
        <v>252</v>
      </c>
      <c r="D1587" s="395"/>
      <c r="E1587" s="315"/>
      <c r="F1587" s="351" t="s">
        <v>74</v>
      </c>
      <c r="G1587" s="398"/>
      <c r="H1587" s="349"/>
      <c r="I1587" s="353" t="s">
        <v>72</v>
      </c>
      <c r="J1587" s="352"/>
      <c r="K1587" s="398"/>
      <c r="L1587" s="350"/>
      <c r="M1587" s="315"/>
      <c r="N1587" s="315"/>
      <c r="O1587" s="315"/>
      <c r="P1587" s="315"/>
      <c r="Q1587" s="315"/>
      <c r="R1587" s="315"/>
      <c r="S1587" s="315"/>
      <c r="T1587" s="315"/>
      <c r="U1587" s="315"/>
      <c r="V1587" s="315"/>
      <c r="W1587" s="315"/>
      <c r="X1587" s="315"/>
      <c r="Y1587" s="315"/>
      <c r="Z1587" s="315"/>
      <c r="AA1587" s="315"/>
    </row>
    <row r="1588" spans="1:27" s="303" customFormat="1" ht="16">
      <c r="A1588" s="393" t="s">
        <v>465</v>
      </c>
      <c r="B1588" s="394"/>
      <c r="C1588" s="396">
        <f>-H1569</f>
        <v>-45</v>
      </c>
      <c r="D1588" s="395"/>
      <c r="E1588" s="315"/>
      <c r="F1588" s="348" t="s">
        <v>497</v>
      </c>
      <c r="G1588" s="356">
        <f>D1539+D1540+D1542+D1543</f>
        <v>680</v>
      </c>
      <c r="H1588" s="349" t="s">
        <v>772</v>
      </c>
      <c r="I1588" s="357" t="s">
        <v>872</v>
      </c>
      <c r="J1588" s="355"/>
      <c r="K1588" s="357">
        <f>E1550</f>
        <v>87</v>
      </c>
      <c r="L1588" s="350"/>
      <c r="M1588" s="315"/>
      <c r="N1588" s="315"/>
      <c r="O1588" s="315"/>
      <c r="P1588" s="315"/>
      <c r="Q1588" s="315"/>
      <c r="R1588" s="315"/>
      <c r="S1588" s="315"/>
      <c r="T1588" s="315"/>
      <c r="U1588" s="315"/>
      <c r="V1588" s="315"/>
      <c r="W1588" s="315"/>
      <c r="X1588" s="315"/>
      <c r="Y1588" s="315"/>
      <c r="Z1588" s="315"/>
      <c r="AA1588" s="315"/>
    </row>
    <row r="1589" spans="1:27" s="303" customFormat="1" ht="17" thickBot="1">
      <c r="A1589" s="400" t="s">
        <v>467</v>
      </c>
      <c r="B1589" s="401"/>
      <c r="C1589" s="402">
        <f>C1587+C1588</f>
        <v>207</v>
      </c>
      <c r="D1589" s="403"/>
      <c r="E1589" s="315"/>
      <c r="F1589" s="348" t="s">
        <v>79</v>
      </c>
      <c r="G1589" s="357">
        <v>900</v>
      </c>
      <c r="H1589" s="349"/>
      <c r="I1589" s="349"/>
      <c r="J1589" s="352"/>
      <c r="K1589" s="398"/>
      <c r="L1589" s="350"/>
      <c r="M1589" s="315"/>
      <c r="N1589" s="315"/>
      <c r="O1589" s="315"/>
      <c r="P1589" s="315"/>
      <c r="Q1589" s="315"/>
      <c r="R1589" s="315"/>
      <c r="S1589" s="315"/>
      <c r="T1589" s="315"/>
      <c r="U1589" s="315"/>
      <c r="V1589" s="315"/>
      <c r="W1589" s="315"/>
      <c r="X1589" s="315"/>
      <c r="Y1589" s="315"/>
      <c r="Z1589" s="315"/>
      <c r="AA1589" s="315"/>
    </row>
    <row r="1590" spans="1:27" s="303" customFormat="1" ht="17" thickBot="1">
      <c r="A1590" s="315"/>
      <c r="B1590" s="315"/>
      <c r="C1590" s="315"/>
      <c r="D1590" s="315"/>
      <c r="E1590" s="315"/>
      <c r="F1590" s="348" t="s">
        <v>873</v>
      </c>
      <c r="G1590" s="357">
        <f>D1546</f>
        <v>30</v>
      </c>
      <c r="H1590" s="349"/>
      <c r="I1590" s="353" t="s">
        <v>78</v>
      </c>
      <c r="J1590" s="352"/>
      <c r="K1590" s="398"/>
      <c r="L1590" s="350"/>
      <c r="M1590" s="315"/>
      <c r="N1590" s="315"/>
      <c r="O1590" s="315"/>
      <c r="P1590" s="315"/>
      <c r="Q1590" s="315"/>
      <c r="R1590" s="315"/>
      <c r="S1590" s="315"/>
      <c r="T1590" s="315"/>
      <c r="U1590" s="315"/>
      <c r="V1590" s="315"/>
      <c r="W1590" s="315"/>
      <c r="X1590" s="315"/>
      <c r="Y1590" s="315"/>
      <c r="Z1590" s="315"/>
      <c r="AA1590" s="315"/>
    </row>
    <row r="1591" spans="1:27" s="303" customFormat="1" ht="16">
      <c r="A1591" s="404" t="s">
        <v>874</v>
      </c>
      <c r="B1591" s="405"/>
      <c r="C1591" s="405"/>
      <c r="D1591" s="405"/>
      <c r="E1591" s="406"/>
      <c r="F1591" s="348" t="s">
        <v>495</v>
      </c>
      <c r="G1591" s="360">
        <f>SUM(G1587:G1590)</f>
        <v>1610</v>
      </c>
      <c r="H1591" s="349"/>
      <c r="I1591" s="357" t="s">
        <v>197</v>
      </c>
      <c r="J1591" s="355"/>
      <c r="K1591" s="357">
        <f t="shared" ref="K1591:K1592" si="49">F1553</f>
        <v>100</v>
      </c>
      <c r="L1591" s="350"/>
      <c r="M1591" s="315"/>
      <c r="N1591" s="315"/>
      <c r="O1591" s="315"/>
      <c r="P1591" s="315"/>
      <c r="Q1591" s="315"/>
      <c r="R1591" s="315"/>
      <c r="S1591" s="315"/>
      <c r="T1591" s="315"/>
      <c r="U1591" s="315"/>
      <c r="V1591" s="315"/>
      <c r="W1591" s="315"/>
      <c r="X1591" s="315"/>
      <c r="Y1591" s="315"/>
      <c r="Z1591" s="315"/>
      <c r="AA1591" s="315"/>
    </row>
    <row r="1592" spans="1:27" s="303" customFormat="1" ht="16">
      <c r="A1592" s="407"/>
      <c r="B1592" s="408"/>
      <c r="C1592" s="408"/>
      <c r="D1592" s="408"/>
      <c r="E1592" s="409"/>
      <c r="F1592" s="348"/>
      <c r="G1592" s="398"/>
      <c r="H1592" s="349"/>
      <c r="I1592" s="357" t="s">
        <v>540</v>
      </c>
      <c r="J1592" s="355"/>
      <c r="K1592" s="357">
        <f t="shared" si="49"/>
        <v>20</v>
      </c>
      <c r="L1592" s="350"/>
      <c r="M1592" s="315"/>
      <c r="N1592" s="315"/>
      <c r="O1592" s="315"/>
      <c r="P1592" s="315"/>
      <c r="Q1592" s="315"/>
      <c r="R1592" s="315"/>
      <c r="S1592" s="315"/>
      <c r="T1592" s="315"/>
      <c r="U1592" s="315"/>
      <c r="V1592" s="315"/>
      <c r="W1592" s="315"/>
      <c r="X1592" s="315"/>
      <c r="Y1592" s="315"/>
      <c r="Z1592" s="315"/>
      <c r="AA1592" s="315"/>
    </row>
    <row r="1593" spans="1:27" s="303" customFormat="1" ht="16">
      <c r="A1593" s="410" t="s">
        <v>875</v>
      </c>
      <c r="B1593" s="408"/>
      <c r="C1593" s="411" t="s">
        <v>726</v>
      </c>
      <c r="D1593" s="412" t="s">
        <v>876</v>
      </c>
      <c r="E1593" s="409"/>
      <c r="F1593" s="348"/>
      <c r="G1593" s="398"/>
      <c r="H1593" s="349"/>
      <c r="I1593" s="349" t="s">
        <v>877</v>
      </c>
      <c r="J1593" s="352"/>
      <c r="K1593" s="413" t="s">
        <v>878</v>
      </c>
      <c r="L1593" s="350"/>
      <c r="M1593" s="315"/>
      <c r="N1593" s="315"/>
      <c r="O1593" s="315"/>
      <c r="P1593" s="315"/>
      <c r="Q1593" s="315"/>
      <c r="R1593" s="315"/>
      <c r="S1593" s="315"/>
      <c r="T1593" s="315"/>
      <c r="U1593" s="315"/>
      <c r="V1593" s="315"/>
      <c r="W1593" s="315"/>
      <c r="X1593" s="315"/>
      <c r="Y1593" s="315"/>
      <c r="Z1593" s="315"/>
      <c r="AA1593" s="315"/>
    </row>
    <row r="1594" spans="1:27" s="303" customFormat="1" ht="16">
      <c r="A1594" s="410" t="s">
        <v>879</v>
      </c>
      <c r="B1594" s="408"/>
      <c r="C1594" s="414">
        <f>C1589</f>
        <v>207</v>
      </c>
      <c r="D1594" s="408" t="s">
        <v>880</v>
      </c>
      <c r="E1594" s="409"/>
      <c r="F1594" s="348"/>
      <c r="G1594" s="398"/>
      <c r="H1594" s="349"/>
      <c r="I1594" s="349" t="s">
        <v>495</v>
      </c>
      <c r="J1594" s="352"/>
      <c r="K1594" s="360">
        <v>1912</v>
      </c>
      <c r="L1594" s="350"/>
      <c r="M1594" s="315"/>
      <c r="N1594" s="315"/>
      <c r="O1594" s="315"/>
      <c r="P1594" s="315"/>
      <c r="Q1594" s="315"/>
      <c r="R1594" s="315"/>
      <c r="S1594" s="315"/>
      <c r="T1594" s="315"/>
      <c r="U1594" s="315"/>
      <c r="V1594" s="315"/>
      <c r="W1594" s="315"/>
      <c r="X1594" s="315"/>
      <c r="Y1594" s="315"/>
      <c r="Z1594" s="315"/>
      <c r="AA1594" s="315"/>
    </row>
    <row r="1595" spans="1:27" s="303" customFormat="1" ht="16">
      <c r="A1595" s="410" t="s">
        <v>551</v>
      </c>
      <c r="B1595" s="408"/>
      <c r="C1595" s="414">
        <f>F1570</f>
        <v>-40</v>
      </c>
      <c r="D1595" s="408" t="s">
        <v>881</v>
      </c>
      <c r="E1595" s="409"/>
      <c r="F1595" s="348"/>
      <c r="G1595" s="398"/>
      <c r="H1595" s="349"/>
      <c r="I1595" s="349"/>
      <c r="J1595" s="349"/>
      <c r="K1595" s="349"/>
      <c r="L1595" s="350"/>
      <c r="M1595" s="315"/>
      <c r="N1595" s="315"/>
      <c r="O1595" s="315"/>
      <c r="P1595" s="315"/>
      <c r="Q1595" s="315"/>
      <c r="R1595" s="315"/>
      <c r="S1595" s="315"/>
      <c r="T1595" s="315"/>
      <c r="U1595" s="315"/>
      <c r="V1595" s="315"/>
      <c r="W1595" s="315"/>
      <c r="X1595" s="315"/>
      <c r="Y1595" s="315"/>
      <c r="Z1595" s="315"/>
      <c r="AA1595" s="315"/>
    </row>
    <row r="1596" spans="1:27" s="303" customFormat="1" ht="17" thickBot="1">
      <c r="A1596" s="410" t="s">
        <v>882</v>
      </c>
      <c r="B1596" s="408"/>
      <c r="C1596" s="415">
        <f>J1613</f>
        <v>1792</v>
      </c>
      <c r="D1596" s="677" t="s">
        <v>883</v>
      </c>
      <c r="E1596" s="678"/>
      <c r="F1596" s="416" t="s">
        <v>83</v>
      </c>
      <c r="G1596" s="417">
        <f>G1585+G1591</f>
        <v>2167</v>
      </c>
      <c r="H1596" s="418"/>
      <c r="I1596" s="419" t="s">
        <v>503</v>
      </c>
      <c r="J1596" s="418"/>
      <c r="K1596" s="365">
        <f>G1596</f>
        <v>2167</v>
      </c>
      <c r="L1596" s="420"/>
      <c r="M1596" s="315"/>
      <c r="N1596" s="315"/>
      <c r="O1596" s="315"/>
      <c r="P1596" s="315"/>
      <c r="Q1596" s="315"/>
      <c r="R1596" s="315"/>
      <c r="S1596" s="315"/>
      <c r="T1596" s="315"/>
      <c r="U1596" s="315"/>
      <c r="V1596" s="315"/>
      <c r="W1596" s="315"/>
      <c r="X1596" s="315"/>
      <c r="Y1596" s="315"/>
      <c r="Z1596" s="315"/>
      <c r="AA1596" s="315"/>
    </row>
    <row r="1597" spans="1:27" s="303" customFormat="1" ht="16">
      <c r="A1597" s="407"/>
      <c r="B1597" s="408"/>
      <c r="C1597" s="408"/>
      <c r="D1597" s="408"/>
      <c r="E1597" s="409"/>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407" t="s">
        <v>884</v>
      </c>
      <c r="B1598" s="408"/>
      <c r="C1598" s="408"/>
      <c r="D1598" s="408"/>
      <c r="E1598" s="409"/>
      <c r="F1598" s="315"/>
      <c r="G1598" s="315" t="s">
        <v>885</v>
      </c>
      <c r="H1598" s="315"/>
      <c r="J1598" s="343">
        <f>G1596</f>
        <v>2167</v>
      </c>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407"/>
      <c r="B1599" s="408"/>
      <c r="C1599" s="408" t="s">
        <v>886</v>
      </c>
      <c r="D1599" s="408"/>
      <c r="E1599" s="409"/>
      <c r="F1599" s="315"/>
      <c r="G1599" s="315" t="s">
        <v>887</v>
      </c>
      <c r="H1599" s="315"/>
      <c r="J1599" s="343">
        <f>J1598</f>
        <v>2167</v>
      </c>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407"/>
      <c r="B1600" s="421">
        <f>1792-C1595-C1594</f>
        <v>1625</v>
      </c>
      <c r="C1600" s="422" t="s">
        <v>888</v>
      </c>
      <c r="D1600" s="412" t="s">
        <v>889</v>
      </c>
      <c r="E1600" s="409"/>
      <c r="F1600" s="315"/>
      <c r="G1600" s="315"/>
      <c r="H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407"/>
      <c r="B1601" s="408"/>
      <c r="C1601" s="408"/>
      <c r="D1601" s="408"/>
      <c r="E1601" s="409"/>
      <c r="F1601" s="315"/>
      <c r="G1601" s="315" t="s">
        <v>890</v>
      </c>
      <c r="H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407"/>
      <c r="B1602" s="408"/>
      <c r="C1602" s="423"/>
      <c r="D1602" s="408"/>
      <c r="E1602" s="409"/>
      <c r="F1602" s="315"/>
      <c r="G1602" s="315" t="s">
        <v>891</v>
      </c>
      <c r="H1602" s="315"/>
      <c r="J1602" s="343">
        <f>K1583</f>
        <v>168</v>
      </c>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7" thickBot="1">
      <c r="A1603" s="407"/>
      <c r="B1603" s="408"/>
      <c r="C1603" s="423"/>
      <c r="D1603" s="408"/>
      <c r="E1603" s="409"/>
      <c r="F1603" s="315"/>
      <c r="G1603" s="315" t="s">
        <v>892</v>
      </c>
      <c r="H1603" s="315"/>
      <c r="J1603" s="315">
        <f>K1588</f>
        <v>87</v>
      </c>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407"/>
      <c r="B1604" s="424"/>
      <c r="C1604" s="425"/>
      <c r="D1604" s="408"/>
      <c r="E1604" s="409"/>
      <c r="F1604" s="315"/>
      <c r="G1604" s="315" t="s">
        <v>399</v>
      </c>
      <c r="H1604" s="315"/>
      <c r="J1604" s="426">
        <f>J1602+J1603</f>
        <v>255</v>
      </c>
      <c r="K1604" s="315" t="s">
        <v>893</v>
      </c>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407"/>
      <c r="B1605" s="424"/>
      <c r="C1605" s="427"/>
      <c r="D1605" s="408"/>
      <c r="E1605" s="409"/>
      <c r="F1605" s="315"/>
      <c r="G1605" s="315"/>
      <c r="H1605" s="315"/>
      <c r="J1605" s="428"/>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407"/>
      <c r="B1606" s="424"/>
      <c r="C1606" s="427"/>
      <c r="D1606" s="408"/>
      <c r="E1606" s="409"/>
      <c r="F1606" s="315"/>
      <c r="G1606" s="315" t="s">
        <v>894</v>
      </c>
      <c r="H1606" s="315"/>
      <c r="J1606" s="428"/>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424"/>
      <c r="B1607" s="407"/>
      <c r="C1607" s="423"/>
      <c r="D1607" s="408"/>
      <c r="E1607" s="409"/>
      <c r="F1607" s="315"/>
      <c r="G1607" s="315" t="s">
        <v>197</v>
      </c>
      <c r="H1607" s="315"/>
      <c r="J1607" s="428">
        <v>100</v>
      </c>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407"/>
      <c r="B1608" s="424"/>
      <c r="C1608" s="423"/>
      <c r="D1608" s="408"/>
      <c r="E1608" s="409"/>
      <c r="F1608" s="315"/>
      <c r="G1608" s="315" t="s">
        <v>540</v>
      </c>
      <c r="H1608" s="315"/>
      <c r="J1608" s="428">
        <v>20</v>
      </c>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7" thickBot="1">
      <c r="A1609" s="407"/>
      <c r="B1609" s="424"/>
      <c r="C1609" s="424"/>
      <c r="D1609" s="408"/>
      <c r="E1609" s="409"/>
      <c r="F1609" s="315"/>
      <c r="G1609" s="315" t="s">
        <v>895</v>
      </c>
      <c r="H1609" s="315"/>
      <c r="J1609" s="429" t="s">
        <v>754</v>
      </c>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407"/>
      <c r="B1610" s="424"/>
      <c r="C1610" s="430"/>
      <c r="D1610" s="408"/>
      <c r="E1610" s="409"/>
      <c r="F1610" s="315"/>
      <c r="G1610" s="315"/>
      <c r="H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407"/>
      <c r="B1611" s="424"/>
      <c r="C1611" s="430"/>
      <c r="D1611" s="408"/>
      <c r="E1611" s="409"/>
      <c r="F1611" s="315"/>
      <c r="G1611" s="315" t="s">
        <v>436</v>
      </c>
      <c r="H1611" s="315"/>
      <c r="J1611" s="343">
        <f>J1599</f>
        <v>2167</v>
      </c>
      <c r="K1611" s="315"/>
      <c r="L1611" s="315" t="s">
        <v>896</v>
      </c>
      <c r="M1611" s="315"/>
      <c r="N1611" s="315"/>
      <c r="O1611" s="315"/>
      <c r="P1611" s="315"/>
      <c r="Q1611" s="315"/>
      <c r="R1611" s="315"/>
      <c r="S1611" s="315"/>
      <c r="T1611" s="315"/>
      <c r="U1611" s="315"/>
      <c r="V1611" s="315"/>
      <c r="W1611" s="315"/>
      <c r="X1611" s="315"/>
      <c r="Y1611" s="315"/>
      <c r="Z1611" s="315"/>
      <c r="AA1611" s="315"/>
    </row>
    <row r="1612" spans="1:27" s="303" customFormat="1" ht="16">
      <c r="A1612" s="407"/>
      <c r="B1612" s="424"/>
      <c r="C1612" s="430"/>
      <c r="D1612" s="408"/>
      <c r="E1612" s="409"/>
      <c r="F1612" s="315"/>
      <c r="G1612" s="315"/>
      <c r="H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7" thickBot="1">
      <c r="A1613" s="431"/>
      <c r="B1613" s="432"/>
      <c r="C1613" s="433"/>
      <c r="D1613" s="434"/>
      <c r="E1613" s="435"/>
      <c r="F1613" s="315"/>
      <c r="G1613" s="315" t="s">
        <v>897</v>
      </c>
      <c r="H1613" s="315"/>
      <c r="J1613" s="421">
        <f>J1611-255-120</f>
        <v>1792</v>
      </c>
      <c r="K1613" s="436" t="s">
        <v>768</v>
      </c>
      <c r="L1613" s="315"/>
      <c r="M1613" s="315"/>
      <c r="N1613" s="315"/>
      <c r="O1613" s="315"/>
      <c r="P1613" s="315"/>
      <c r="Q1613" s="315"/>
      <c r="R1613" s="315"/>
      <c r="S1613" s="315"/>
      <c r="T1613" s="315"/>
      <c r="U1613" s="315"/>
      <c r="V1613" s="315"/>
      <c r="W1613" s="315"/>
      <c r="X1613" s="315"/>
      <c r="Y1613" s="315"/>
      <c r="Z1613" s="315"/>
      <c r="AA1613" s="315"/>
    </row>
    <row r="1614" spans="1:27" s="303" customFormat="1" ht="16">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03" customFormat="1" ht="16">
      <c r="A1618" s="437" t="s">
        <v>898</v>
      </c>
      <c r="B1618" s="274"/>
      <c r="C1618" s="274"/>
      <c r="D1618" s="274"/>
      <c r="E1618" s="274"/>
      <c r="F1618" s="259"/>
      <c r="G1618" s="315"/>
      <c r="H1618" s="315"/>
      <c r="I1618" s="315"/>
      <c r="J1618" s="315"/>
      <c r="K1618" s="315"/>
      <c r="L1618" s="315"/>
      <c r="M1618" s="315"/>
      <c r="N1618" s="315"/>
      <c r="O1618" s="315"/>
      <c r="P1618" s="315"/>
      <c r="Q1618" s="315"/>
      <c r="R1618" s="315"/>
      <c r="S1618" s="315"/>
      <c r="T1618" s="315"/>
      <c r="U1618" s="315"/>
      <c r="V1618" s="315"/>
      <c r="W1618" s="315"/>
      <c r="X1618" s="315"/>
      <c r="Y1618" s="315"/>
      <c r="Z1618" s="315"/>
      <c r="AA1618" s="315"/>
    </row>
    <row r="1619" spans="1:27" s="303" customFormat="1" ht="16">
      <c r="A1619" s="274" t="s">
        <v>899</v>
      </c>
      <c r="B1619" s="274"/>
      <c r="C1619" s="274"/>
      <c r="D1619" s="274"/>
      <c r="E1619" s="274"/>
      <c r="F1619" s="259"/>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274" t="s">
        <v>900</v>
      </c>
      <c r="B1620" s="274"/>
      <c r="C1620" s="274"/>
      <c r="D1620" s="274"/>
      <c r="E1620" s="274"/>
      <c r="F1620" s="259"/>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274" t="s">
        <v>901</v>
      </c>
      <c r="B1621" s="274"/>
      <c r="C1621" s="274"/>
      <c r="D1621" s="274" t="s">
        <v>572</v>
      </c>
      <c r="E1621" s="438" t="s">
        <v>88</v>
      </c>
      <c r="F1621" s="259"/>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259"/>
      <c r="B1622" s="259"/>
      <c r="C1622" s="259"/>
      <c r="D1622" s="259" t="s">
        <v>902</v>
      </c>
      <c r="E1622" s="273" t="s">
        <v>88</v>
      </c>
      <c r="F1622" s="259"/>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259"/>
      <c r="B1623" s="259"/>
      <c r="C1623" s="259"/>
      <c r="D1623" s="259" t="s">
        <v>573</v>
      </c>
      <c r="E1623" s="273" t="s">
        <v>89</v>
      </c>
      <c r="F1623" s="259"/>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259"/>
      <c r="B1624" s="259"/>
      <c r="C1624" s="259"/>
      <c r="D1624" s="259" t="s">
        <v>659</v>
      </c>
      <c r="E1624" s="439" t="s">
        <v>91</v>
      </c>
      <c r="F1624" s="259"/>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259"/>
      <c r="B1625" s="259"/>
      <c r="C1625" s="259"/>
      <c r="D1625" s="259"/>
      <c r="E1625" s="259"/>
      <c r="F1625" s="259"/>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259" t="s">
        <v>903</v>
      </c>
      <c r="B1626" s="259"/>
      <c r="C1626" s="259"/>
      <c r="D1626" s="259"/>
      <c r="E1626" s="259"/>
      <c r="F1626" s="259"/>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259" t="s">
        <v>904</v>
      </c>
      <c r="B1627" s="259"/>
      <c r="C1627" s="259"/>
      <c r="D1627" s="259"/>
      <c r="E1627" s="259"/>
      <c r="F1627" s="259"/>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259" t="s">
        <v>905</v>
      </c>
      <c r="B1628" s="259"/>
      <c r="C1628" s="259"/>
      <c r="D1628" s="259"/>
      <c r="E1628" s="259"/>
      <c r="F1628" s="259"/>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259" t="s">
        <v>906</v>
      </c>
      <c r="B1629" s="259"/>
      <c r="C1629" s="259"/>
      <c r="D1629" s="259"/>
      <c r="E1629" s="259"/>
      <c r="F1629" s="259"/>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40" t="s">
        <v>907</v>
      </c>
      <c r="B1631" s="340"/>
      <c r="C1631" s="315"/>
      <c r="D1631" s="315"/>
      <c r="E1631" s="315"/>
      <c r="F1631" s="315"/>
      <c r="G1631" s="315"/>
      <c r="H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t="s">
        <v>908</v>
      </c>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t="s">
        <v>566</v>
      </c>
      <c r="C1634" s="315"/>
      <c r="D1634" s="315">
        <f>G1555</f>
        <v>300</v>
      </c>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t="s">
        <v>628</v>
      </c>
      <c r="C1635" s="315"/>
      <c r="D1635" s="343">
        <f>G1557</f>
        <v>-10</v>
      </c>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t="s">
        <v>568</v>
      </c>
      <c r="C1636" s="315"/>
      <c r="D1636" s="343">
        <f>G1556</f>
        <v>-20</v>
      </c>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t="s">
        <v>909</v>
      </c>
      <c r="C1637" s="315"/>
      <c r="D1637" s="369">
        <f>SUM(D1634:D1636)</f>
        <v>270</v>
      </c>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40" t="s">
        <v>910</v>
      </c>
      <c r="B1639" s="340"/>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t="s">
        <v>911</v>
      </c>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t="s">
        <v>555</v>
      </c>
      <c r="C1642" s="315"/>
      <c r="D1642" s="315">
        <f>H1559</f>
        <v>15</v>
      </c>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t="s">
        <v>860</v>
      </c>
      <c r="C1643" s="315"/>
      <c r="D1643" s="315">
        <f>H1563</f>
        <v>9</v>
      </c>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t="s">
        <v>871</v>
      </c>
      <c r="C1644" s="315"/>
      <c r="D1644" s="369">
        <f>SUM(D1641:D1643)</f>
        <v>24</v>
      </c>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40" t="s">
        <v>912</v>
      </c>
      <c r="B1646" s="340"/>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t="s">
        <v>913</v>
      </c>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t="s">
        <v>914</v>
      </c>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t="s">
        <v>915</v>
      </c>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t="s">
        <v>916</v>
      </c>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t="s">
        <v>917</v>
      </c>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t="s">
        <v>918</v>
      </c>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t="s">
        <v>554</v>
      </c>
      <c r="C1655" s="315"/>
      <c r="D1655" s="315">
        <v>12</v>
      </c>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t="s">
        <v>575</v>
      </c>
      <c r="C1656" s="315"/>
      <c r="D1656" s="315">
        <v>11</v>
      </c>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row r="1657" spans="1:27" s="303" customFormat="1" ht="16">
      <c r="A1657" s="315"/>
      <c r="B1657" s="315" t="s">
        <v>859</v>
      </c>
      <c r="C1657" s="315"/>
      <c r="D1657" s="315">
        <v>13</v>
      </c>
      <c r="E1657" s="315"/>
      <c r="F1657" s="315"/>
      <c r="G1657" s="315"/>
      <c r="H1657" s="315"/>
      <c r="I1657" s="315"/>
      <c r="J1657" s="315"/>
      <c r="K1657" s="315"/>
      <c r="L1657" s="315"/>
      <c r="M1657" s="315"/>
      <c r="N1657" s="315"/>
      <c r="O1657" s="315"/>
      <c r="P1657" s="315"/>
      <c r="Q1657" s="315"/>
      <c r="R1657" s="315"/>
      <c r="S1657" s="315"/>
      <c r="T1657" s="315"/>
      <c r="U1657" s="315"/>
      <c r="V1657" s="315"/>
      <c r="W1657" s="315"/>
      <c r="X1657" s="315"/>
      <c r="Y1657" s="315"/>
      <c r="Z1657" s="315"/>
      <c r="AA1657" s="315"/>
    </row>
    <row r="1658" spans="1:27" s="303" customFormat="1" ht="16">
      <c r="A1658" s="315"/>
      <c r="B1658" s="315" t="s">
        <v>560</v>
      </c>
      <c r="C1658" s="315"/>
      <c r="D1658" s="369">
        <f>SUM(D1655:D1657)</f>
        <v>36</v>
      </c>
      <c r="E1658" s="315"/>
      <c r="F1658" s="315"/>
      <c r="G1658" s="315"/>
      <c r="H1658" s="315"/>
      <c r="I1658" s="315"/>
      <c r="J1658" s="315"/>
      <c r="K1658" s="315"/>
      <c r="L1658" s="315"/>
      <c r="M1658" s="315"/>
      <c r="N1658" s="315"/>
      <c r="O1658" s="315"/>
      <c r="P1658" s="315"/>
      <c r="Q1658" s="315"/>
      <c r="R1658" s="315"/>
      <c r="S1658" s="315"/>
      <c r="T1658" s="315"/>
      <c r="U1658" s="315"/>
      <c r="V1658" s="315"/>
      <c r="W1658" s="315"/>
      <c r="X1658" s="315"/>
      <c r="Y1658" s="315"/>
      <c r="Z1658" s="315"/>
      <c r="AA1658" s="315"/>
    </row>
    <row r="1659" spans="1:27" s="303" customFormat="1" ht="16">
      <c r="A1659" s="315"/>
      <c r="B1659" s="315"/>
      <c r="C1659" s="315"/>
      <c r="D1659" s="315"/>
      <c r="E1659" s="315"/>
      <c r="F1659" s="315"/>
      <c r="G1659" s="315"/>
      <c r="H1659" s="315"/>
      <c r="I1659" s="315"/>
      <c r="J1659" s="315"/>
      <c r="K1659" s="315"/>
      <c r="L1659" s="315"/>
      <c r="M1659" s="315"/>
      <c r="N1659" s="315"/>
      <c r="O1659" s="315"/>
      <c r="P1659" s="315"/>
      <c r="Q1659" s="315"/>
      <c r="R1659" s="315"/>
      <c r="S1659" s="315"/>
      <c r="T1659" s="315"/>
      <c r="U1659" s="315"/>
      <c r="V1659" s="315"/>
      <c r="W1659" s="315"/>
      <c r="X1659" s="315"/>
      <c r="Y1659" s="315"/>
      <c r="Z1659" s="315"/>
      <c r="AA1659" s="315"/>
    </row>
    <row r="1660" spans="1:27" s="303" customFormat="1" ht="16">
      <c r="A1660" s="340" t="s">
        <v>919</v>
      </c>
      <c r="B1660" s="340"/>
      <c r="C1660" s="315"/>
      <c r="D1660" s="315"/>
      <c r="E1660" s="315"/>
      <c r="F1660" s="315"/>
      <c r="G1660" s="315"/>
      <c r="H1660" s="315"/>
      <c r="I1660" s="315"/>
      <c r="J1660" s="315"/>
      <c r="K1660" s="315"/>
      <c r="L1660" s="315"/>
      <c r="M1660" s="315"/>
      <c r="N1660" s="315"/>
      <c r="O1660" s="315"/>
      <c r="P1660" s="315"/>
      <c r="Q1660" s="315"/>
      <c r="R1660" s="315"/>
      <c r="S1660" s="315"/>
      <c r="T1660" s="315"/>
      <c r="U1660" s="315"/>
      <c r="V1660" s="315"/>
      <c r="W1660" s="315"/>
      <c r="X1660" s="315"/>
      <c r="Y1660" s="315"/>
      <c r="Z1660" s="315"/>
      <c r="AA1660" s="315"/>
    </row>
    <row r="1661" spans="1:27" s="303" customFormat="1" ht="16">
      <c r="A1661" s="315" t="s">
        <v>920</v>
      </c>
      <c r="B1661" s="315"/>
      <c r="C1661" s="315"/>
      <c r="D1661" s="315"/>
      <c r="E1661" s="315"/>
      <c r="F1661" s="315"/>
      <c r="G1661" s="315"/>
      <c r="H1661" s="315"/>
      <c r="I1661" s="315"/>
      <c r="J1661" s="315"/>
      <c r="K1661" s="315"/>
      <c r="L1661" s="315"/>
      <c r="M1661" s="315"/>
      <c r="N1661" s="315"/>
      <c r="O1661" s="315"/>
      <c r="P1661" s="315"/>
      <c r="Q1661" s="315"/>
      <c r="R1661" s="315"/>
      <c r="S1661" s="315"/>
      <c r="T1661" s="315"/>
      <c r="U1661" s="315"/>
      <c r="V1661" s="315"/>
      <c r="W1661" s="315"/>
      <c r="X1661" s="315"/>
      <c r="Y1661" s="315"/>
      <c r="Z1661" s="315"/>
      <c r="AA1661" s="315"/>
    </row>
    <row r="1662" spans="1:27" s="303" customFormat="1" ht="16">
      <c r="A1662" s="315" t="s">
        <v>921</v>
      </c>
      <c r="B1662" s="315"/>
      <c r="C1662" s="315"/>
      <c r="D1662" s="315"/>
      <c r="E1662" s="315"/>
      <c r="F1662" s="315"/>
      <c r="G1662" s="315"/>
      <c r="H1662" s="315"/>
      <c r="I1662" s="315"/>
      <c r="J1662" s="315"/>
      <c r="K1662" s="315"/>
      <c r="L1662" s="315"/>
      <c r="M1662" s="315"/>
      <c r="N1662" s="315"/>
      <c r="O1662" s="315"/>
      <c r="P1662" s="315"/>
      <c r="Q1662" s="315"/>
      <c r="R1662" s="315"/>
      <c r="S1662" s="315"/>
      <c r="T1662" s="315"/>
      <c r="U1662" s="315"/>
      <c r="V1662" s="315"/>
      <c r="W1662" s="315"/>
      <c r="X1662" s="315"/>
      <c r="Y1662" s="315"/>
      <c r="Z1662" s="315"/>
      <c r="AA1662" s="315"/>
    </row>
    <row r="1663" spans="1:27" s="303" customFormat="1" ht="16">
      <c r="A1663" s="315" t="s">
        <v>922</v>
      </c>
      <c r="B1663" s="315"/>
      <c r="C1663" s="315"/>
      <c r="D1663" s="315"/>
      <c r="E1663" s="315"/>
      <c r="F1663" s="315"/>
      <c r="G1663" s="315"/>
      <c r="H1663" s="315"/>
      <c r="I1663" s="315"/>
      <c r="J1663" s="315"/>
      <c r="K1663" s="315"/>
      <c r="L1663" s="315"/>
      <c r="M1663" s="315"/>
      <c r="N1663" s="315"/>
      <c r="O1663" s="315"/>
      <c r="P1663" s="315"/>
      <c r="Q1663" s="315"/>
      <c r="R1663" s="315"/>
      <c r="S1663" s="315"/>
      <c r="T1663" s="315"/>
      <c r="U1663" s="315"/>
      <c r="V1663" s="315"/>
      <c r="W1663" s="315"/>
      <c r="X1663" s="315"/>
      <c r="Y1663" s="315"/>
      <c r="Z1663" s="315"/>
      <c r="AA1663" s="315"/>
    </row>
    <row r="1664" spans="1:27" s="303" customFormat="1" ht="16">
      <c r="A1664" s="315" t="s">
        <v>923</v>
      </c>
      <c r="B1664" s="315"/>
      <c r="C1664" s="315"/>
      <c r="D1664" s="315"/>
      <c r="E1664" s="315"/>
      <c r="F1664" s="315"/>
      <c r="G1664" s="315"/>
      <c r="H1664" s="315"/>
      <c r="I1664" s="315"/>
      <c r="J1664" s="315"/>
      <c r="K1664" s="315"/>
      <c r="L1664" s="315"/>
      <c r="M1664" s="315"/>
      <c r="N1664" s="315"/>
      <c r="O1664" s="315"/>
      <c r="P1664" s="315"/>
      <c r="Q1664" s="315"/>
      <c r="R1664" s="315"/>
      <c r="S1664" s="315"/>
      <c r="T1664" s="315"/>
      <c r="U1664" s="315"/>
      <c r="V1664" s="315"/>
      <c r="W1664" s="315"/>
      <c r="X1664" s="315"/>
      <c r="Y1664" s="315"/>
      <c r="Z1664" s="315"/>
      <c r="AA1664" s="315"/>
    </row>
    <row r="1665" spans="1:27" s="303" customFormat="1" ht="16">
      <c r="A1665" s="315"/>
      <c r="B1665" s="315"/>
      <c r="C1665" s="315"/>
      <c r="D1665" s="315"/>
      <c r="E1665" s="315"/>
      <c r="F1665" s="315"/>
      <c r="G1665" s="315"/>
      <c r="H1665" s="315"/>
      <c r="I1665" s="315"/>
      <c r="J1665" s="315"/>
      <c r="K1665" s="315"/>
      <c r="L1665" s="315"/>
      <c r="M1665" s="315"/>
      <c r="N1665" s="315"/>
      <c r="O1665" s="315"/>
      <c r="P1665" s="315"/>
      <c r="Q1665" s="315"/>
      <c r="R1665" s="315"/>
      <c r="S1665" s="315"/>
      <c r="T1665" s="315"/>
      <c r="U1665" s="315"/>
      <c r="V1665" s="315"/>
      <c r="W1665" s="315"/>
      <c r="X1665" s="315"/>
      <c r="Y1665" s="315"/>
      <c r="Z1665" s="315"/>
      <c r="AA1665" s="315"/>
    </row>
    <row r="1666" spans="1:27" s="303" customFormat="1" ht="16">
      <c r="A1666" s="315"/>
      <c r="B1666" s="315"/>
      <c r="C1666" s="315"/>
      <c r="D1666" s="315"/>
      <c r="E1666" s="315"/>
      <c r="F1666" s="315"/>
      <c r="G1666" s="315"/>
      <c r="H1666" s="315"/>
      <c r="I1666" s="315"/>
      <c r="J1666" s="315"/>
      <c r="K1666" s="315"/>
      <c r="L1666" s="315"/>
      <c r="M1666" s="315"/>
      <c r="N1666" s="315"/>
      <c r="O1666" s="315"/>
      <c r="P1666" s="315"/>
      <c r="Q1666" s="315"/>
      <c r="R1666" s="315"/>
      <c r="S1666" s="315"/>
      <c r="T1666" s="315"/>
      <c r="U1666" s="315"/>
      <c r="V1666" s="315"/>
      <c r="W1666" s="315"/>
      <c r="X1666" s="315"/>
      <c r="Y1666" s="315"/>
      <c r="Z1666" s="315"/>
      <c r="AA1666" s="315"/>
    </row>
    <row r="1667" spans="1:27" s="303" customFormat="1" ht="16">
      <c r="A1667" s="315"/>
      <c r="B1667" s="315"/>
      <c r="C1667" s="315"/>
      <c r="D1667" s="315"/>
      <c r="E1667" s="315"/>
      <c r="F1667" s="315"/>
      <c r="G1667" s="315"/>
      <c r="H1667" s="315"/>
      <c r="I1667" s="315"/>
      <c r="J1667" s="315"/>
      <c r="K1667" s="315"/>
      <c r="L1667" s="315"/>
      <c r="M1667" s="315"/>
      <c r="N1667" s="315"/>
      <c r="O1667" s="315"/>
      <c r="P1667" s="315"/>
      <c r="Q1667" s="315"/>
      <c r="R1667" s="315"/>
      <c r="S1667" s="315"/>
      <c r="T1667" s="315"/>
      <c r="U1667" s="315"/>
      <c r="V1667" s="315"/>
      <c r="W1667" s="315"/>
      <c r="X1667" s="315"/>
      <c r="Y1667" s="315"/>
      <c r="Z1667" s="315"/>
      <c r="AA1667" s="315"/>
    </row>
    <row r="1668" spans="1:27" s="303" customFormat="1" ht="16">
      <c r="A1668" s="315"/>
      <c r="B1668" s="315"/>
      <c r="C1668" s="315"/>
      <c r="D1668" s="315"/>
      <c r="E1668" s="315"/>
      <c r="F1668" s="315"/>
      <c r="G1668" s="315"/>
      <c r="H1668" s="315"/>
      <c r="I1668" s="315"/>
      <c r="J1668" s="315"/>
      <c r="K1668" s="315"/>
      <c r="L1668" s="315"/>
      <c r="M1668" s="315"/>
      <c r="N1668" s="315"/>
      <c r="O1668" s="315"/>
      <c r="P1668" s="315"/>
      <c r="Q1668" s="315"/>
      <c r="R1668" s="315"/>
      <c r="S1668" s="315"/>
      <c r="T1668" s="315"/>
      <c r="U1668" s="315"/>
      <c r="V1668" s="315"/>
      <c r="W1668" s="315"/>
      <c r="X1668" s="315"/>
      <c r="Y1668" s="315"/>
      <c r="Z1668" s="315"/>
      <c r="AA1668" s="315"/>
    </row>
    <row r="1669" spans="1:27" s="303" customFormat="1" ht="16">
      <c r="A1669" s="315"/>
      <c r="B1669" s="436" t="s">
        <v>924</v>
      </c>
      <c r="C1669" s="315"/>
      <c r="D1669" s="315" t="s">
        <v>925</v>
      </c>
      <c r="E1669" s="315"/>
      <c r="F1669" s="315"/>
      <c r="G1669" s="315"/>
      <c r="H1669" s="315"/>
      <c r="I1669" s="315"/>
      <c r="J1669" s="315"/>
      <c r="K1669" s="315"/>
      <c r="L1669" s="315"/>
      <c r="M1669" s="315"/>
      <c r="N1669" s="315"/>
      <c r="O1669" s="315"/>
      <c r="P1669" s="315"/>
      <c r="Q1669" s="315"/>
      <c r="R1669" s="315"/>
      <c r="S1669" s="315"/>
      <c r="T1669" s="315"/>
      <c r="U1669" s="315"/>
      <c r="V1669" s="315"/>
      <c r="W1669" s="315"/>
      <c r="X1669" s="315"/>
      <c r="Y1669" s="315"/>
      <c r="Z1669" s="315"/>
      <c r="AA1669" s="315"/>
    </row>
    <row r="1670" spans="1:27" s="303" customFormat="1" ht="16">
      <c r="A1670" s="315"/>
      <c r="B1670" s="315"/>
      <c r="C1670" s="315"/>
      <c r="D1670" s="315"/>
      <c r="E1670" s="315"/>
      <c r="F1670" s="315"/>
      <c r="G1670" s="315"/>
      <c r="H1670" s="315"/>
      <c r="I1670" s="315"/>
      <c r="J1670" s="315"/>
      <c r="K1670" s="315"/>
      <c r="L1670" s="315"/>
      <c r="M1670" s="315"/>
      <c r="N1670" s="315"/>
      <c r="O1670" s="315"/>
      <c r="P1670" s="315"/>
      <c r="Q1670" s="315"/>
      <c r="R1670" s="315"/>
      <c r="S1670" s="315"/>
      <c r="T1670" s="315"/>
      <c r="U1670" s="315"/>
      <c r="V1670" s="315"/>
      <c r="W1670" s="315"/>
      <c r="X1670" s="315"/>
      <c r="Y1670" s="315"/>
      <c r="Z1670" s="315"/>
      <c r="AA1670" s="315"/>
    </row>
    <row r="1671" spans="1:27" s="303" customFormat="1" ht="16">
      <c r="A1671" s="315"/>
      <c r="B1671" s="315"/>
      <c r="C1671" s="315"/>
      <c r="D1671" s="315"/>
      <c r="E1671" s="315"/>
      <c r="F1671" s="315"/>
      <c r="G1671" s="315"/>
      <c r="H1671" s="315"/>
      <c r="I1671" s="315"/>
      <c r="J1671" s="315"/>
      <c r="K1671" s="315"/>
      <c r="L1671" s="315"/>
      <c r="M1671" s="315"/>
      <c r="N1671" s="315"/>
      <c r="O1671" s="315"/>
      <c r="P1671" s="315"/>
      <c r="Q1671" s="315"/>
      <c r="R1671" s="315"/>
      <c r="S1671" s="315"/>
      <c r="T1671" s="315"/>
      <c r="U1671" s="315"/>
      <c r="V1671" s="315"/>
      <c r="W1671" s="315"/>
      <c r="X1671" s="315"/>
      <c r="Y1671" s="315"/>
      <c r="Z1671" s="315"/>
      <c r="AA1671" s="315"/>
    </row>
    <row r="1672" spans="1:27" s="303" customFormat="1" ht="16">
      <c r="A1672" s="315"/>
      <c r="B1672" s="315"/>
      <c r="C1672" s="315"/>
      <c r="D1672" s="315"/>
      <c r="E1672" s="315"/>
      <c r="F1672" s="315"/>
      <c r="G1672" s="315"/>
      <c r="H1672" s="315"/>
      <c r="I1672" s="315"/>
      <c r="J1672" s="315"/>
      <c r="K1672" s="315"/>
      <c r="L1672" s="315"/>
      <c r="M1672" s="315"/>
      <c r="N1672" s="315"/>
      <c r="O1672" s="315"/>
      <c r="P1672" s="315"/>
      <c r="Q1672" s="315"/>
      <c r="R1672" s="315"/>
      <c r="S1672" s="315"/>
      <c r="T1672" s="315"/>
      <c r="U1672" s="315"/>
      <c r="V1672" s="315"/>
      <c r="W1672" s="315"/>
      <c r="X1672" s="315"/>
      <c r="Y1672" s="315"/>
      <c r="Z1672" s="315"/>
      <c r="AA1672" s="315"/>
    </row>
    <row r="1673" spans="1:27" s="303" customFormat="1" ht="16">
      <c r="A1673" s="315"/>
      <c r="B1673" s="315"/>
      <c r="C1673" s="315"/>
      <c r="D1673" s="315"/>
      <c r="E1673" s="315"/>
      <c r="F1673" s="315"/>
      <c r="G1673" s="315"/>
      <c r="H1673" s="315"/>
      <c r="I1673" s="315"/>
      <c r="J1673" s="315"/>
      <c r="K1673" s="315"/>
      <c r="L1673" s="315"/>
      <c r="M1673" s="315"/>
      <c r="N1673" s="315"/>
      <c r="O1673" s="315"/>
      <c r="P1673" s="315"/>
      <c r="Q1673" s="315"/>
      <c r="R1673" s="315"/>
      <c r="S1673" s="315"/>
      <c r="T1673" s="315"/>
      <c r="U1673" s="315"/>
      <c r="V1673" s="315"/>
      <c r="W1673" s="315"/>
      <c r="X1673" s="315"/>
      <c r="Y1673" s="315"/>
      <c r="Z1673" s="315"/>
      <c r="AA1673" s="315"/>
    </row>
    <row r="1674" spans="1:27" s="303" customFormat="1" ht="16">
      <c r="A1674" s="315"/>
      <c r="B1674" s="315"/>
      <c r="C1674" s="315"/>
      <c r="D1674" s="315"/>
      <c r="E1674" s="315"/>
      <c r="F1674" s="315"/>
      <c r="G1674" s="315"/>
      <c r="H1674" s="315"/>
      <c r="I1674" s="315"/>
      <c r="J1674" s="315"/>
      <c r="K1674" s="315"/>
      <c r="L1674" s="315"/>
      <c r="M1674" s="315"/>
      <c r="N1674" s="315"/>
      <c r="O1674" s="315"/>
      <c r="P1674" s="315"/>
      <c r="Q1674" s="315"/>
      <c r="R1674" s="315"/>
      <c r="S1674" s="315"/>
      <c r="T1674" s="315"/>
      <c r="U1674" s="315"/>
      <c r="V1674" s="315"/>
      <c r="W1674" s="315"/>
      <c r="X1674" s="315"/>
      <c r="Y1674" s="315"/>
      <c r="Z1674" s="315"/>
      <c r="AA1674" s="315"/>
    </row>
    <row r="1675" spans="1:27" s="303" customFormat="1" ht="16">
      <c r="A1675" s="440" t="s">
        <v>924</v>
      </c>
      <c r="B1675" s="315"/>
      <c r="C1675" s="315" t="s">
        <v>925</v>
      </c>
      <c r="D1675" s="315"/>
      <c r="E1675" s="315"/>
      <c r="F1675" s="315"/>
      <c r="G1675" s="315"/>
      <c r="H1675" s="315"/>
      <c r="I1675" s="315"/>
      <c r="J1675" s="315"/>
      <c r="K1675" s="315"/>
      <c r="L1675" s="315"/>
      <c r="M1675" s="315"/>
      <c r="N1675" s="315"/>
      <c r="O1675" s="315"/>
      <c r="P1675" s="315"/>
      <c r="Q1675" s="315"/>
      <c r="R1675" s="315"/>
      <c r="S1675" s="315"/>
      <c r="T1675" s="315"/>
      <c r="U1675" s="315"/>
      <c r="V1675" s="315"/>
      <c r="W1675" s="315"/>
      <c r="X1675" s="315"/>
      <c r="Y1675" s="315"/>
      <c r="Z1675" s="315"/>
      <c r="AA1675" s="315"/>
    </row>
    <row r="1676" spans="1:27" s="303" customFormat="1" ht="16">
      <c r="A1676" s="315"/>
      <c r="B1676" s="315"/>
      <c r="C1676" s="315"/>
      <c r="D1676" s="315"/>
      <c r="E1676" s="315"/>
      <c r="F1676" s="315"/>
      <c r="G1676" s="315"/>
      <c r="H1676" s="315"/>
      <c r="I1676" s="315"/>
      <c r="J1676" s="315"/>
      <c r="K1676" s="315"/>
      <c r="L1676" s="315"/>
      <c r="M1676" s="315"/>
      <c r="N1676" s="315"/>
      <c r="O1676" s="315"/>
      <c r="P1676" s="315"/>
      <c r="Q1676" s="315"/>
      <c r="R1676" s="315"/>
      <c r="S1676" s="315"/>
      <c r="T1676" s="315"/>
      <c r="U1676" s="315"/>
      <c r="V1676" s="315"/>
      <c r="W1676" s="315"/>
      <c r="X1676" s="315"/>
      <c r="Y1676" s="315"/>
      <c r="Z1676" s="315"/>
      <c r="AA1676" s="315"/>
    </row>
    <row r="1677" spans="1:27" s="303" customFormat="1" ht="16">
      <c r="A1677" s="315"/>
      <c r="B1677" s="315"/>
      <c r="C1677" s="315"/>
      <c r="D1677" s="315"/>
      <c r="E1677" s="315"/>
      <c r="F1677" s="315"/>
      <c r="G1677" s="315"/>
      <c r="H1677" s="315"/>
      <c r="I1677" s="315"/>
      <c r="J1677" s="315"/>
      <c r="K1677" s="315"/>
      <c r="L1677" s="315"/>
      <c r="M1677" s="315"/>
      <c r="N1677" s="315"/>
      <c r="O1677" s="315"/>
      <c r="P1677" s="315"/>
      <c r="Q1677" s="315"/>
      <c r="R1677" s="315"/>
      <c r="S1677" s="315"/>
      <c r="T1677" s="315"/>
      <c r="U1677" s="315"/>
      <c r="V1677" s="315"/>
      <c r="W1677" s="315"/>
      <c r="X1677" s="315"/>
      <c r="Y1677" s="315"/>
      <c r="Z1677" s="315"/>
      <c r="AA1677" s="315"/>
    </row>
    <row r="1678" spans="1:27" s="303" customFormat="1" ht="16">
      <c r="A1678" s="315"/>
      <c r="B1678" s="315"/>
      <c r="C1678" s="315"/>
      <c r="D1678" s="315"/>
      <c r="E1678" s="315"/>
      <c r="F1678" s="315"/>
      <c r="G1678" s="315"/>
      <c r="H1678" s="315"/>
      <c r="I1678" s="315"/>
      <c r="J1678" s="315"/>
      <c r="K1678" s="315"/>
      <c r="L1678" s="315"/>
      <c r="M1678" s="315"/>
      <c r="N1678" s="315"/>
      <c r="O1678" s="315"/>
      <c r="P1678" s="315"/>
      <c r="Q1678" s="315"/>
      <c r="R1678" s="315"/>
      <c r="S1678" s="315"/>
      <c r="T1678" s="315"/>
      <c r="U1678" s="315"/>
      <c r="V1678" s="315"/>
      <c r="W1678" s="315"/>
      <c r="X1678" s="315"/>
      <c r="Y1678" s="315"/>
      <c r="Z1678" s="315"/>
      <c r="AA1678" s="315"/>
    </row>
    <row r="1679" spans="1:27" s="303" customFormat="1" ht="16">
      <c r="A1679" s="315"/>
      <c r="B1679" s="315"/>
      <c r="C1679" s="315"/>
      <c r="D1679" s="315"/>
      <c r="E1679" s="315"/>
      <c r="F1679" s="315"/>
      <c r="G1679" s="315"/>
      <c r="H1679" s="315"/>
      <c r="I1679" s="315"/>
      <c r="J1679" s="315"/>
      <c r="K1679" s="315"/>
      <c r="L1679" s="315"/>
      <c r="M1679" s="315"/>
      <c r="N1679" s="315"/>
      <c r="O1679" s="315"/>
      <c r="P1679" s="315"/>
      <c r="Q1679" s="315"/>
      <c r="R1679" s="315"/>
      <c r="S1679" s="315"/>
      <c r="T1679" s="315"/>
      <c r="U1679" s="315"/>
      <c r="V1679" s="315"/>
      <c r="W1679" s="315"/>
      <c r="X1679" s="315"/>
      <c r="Y1679" s="315"/>
      <c r="Z1679" s="315"/>
      <c r="AA1679" s="315"/>
    </row>
    <row r="1680" spans="1:27" s="303" customFormat="1" ht="16">
      <c r="A1680" s="315"/>
      <c r="B1680" s="315"/>
      <c r="C1680" s="315"/>
      <c r="D1680" s="315"/>
      <c r="E1680" s="315"/>
      <c r="F1680" s="315"/>
      <c r="G1680" s="315"/>
      <c r="H1680" s="315"/>
      <c r="I1680" s="315"/>
      <c r="J1680" s="315"/>
      <c r="K1680" s="315"/>
      <c r="L1680" s="315"/>
      <c r="M1680" s="315"/>
      <c r="N1680" s="315"/>
      <c r="O1680" s="315"/>
      <c r="P1680" s="315"/>
      <c r="Q1680" s="315"/>
      <c r="R1680" s="315"/>
      <c r="S1680" s="315"/>
      <c r="T1680" s="315"/>
      <c r="U1680" s="315"/>
      <c r="V1680" s="315"/>
      <c r="W1680" s="315"/>
      <c r="X1680" s="315"/>
      <c r="Y1680" s="315"/>
      <c r="Z1680" s="315"/>
      <c r="AA1680" s="315"/>
    </row>
    <row r="1681" spans="1:27" s="303" customFormat="1" ht="16">
      <c r="A1681" s="315" t="s">
        <v>926</v>
      </c>
      <c r="B1681" s="315"/>
      <c r="C1681" s="315"/>
      <c r="D1681" s="315"/>
      <c r="E1681" s="315"/>
      <c r="F1681" s="315"/>
      <c r="G1681" s="315"/>
      <c r="H1681" s="315"/>
      <c r="I1681" s="315"/>
      <c r="J1681" s="315"/>
      <c r="K1681" s="315"/>
      <c r="L1681" s="315"/>
      <c r="M1681" s="315"/>
      <c r="N1681" s="315"/>
      <c r="O1681" s="315"/>
      <c r="P1681" s="315"/>
      <c r="Q1681" s="315"/>
      <c r="R1681" s="315"/>
      <c r="S1681" s="315"/>
      <c r="T1681" s="315"/>
      <c r="U1681" s="315"/>
      <c r="V1681" s="315"/>
      <c r="W1681" s="315"/>
      <c r="X1681" s="315"/>
      <c r="Y1681" s="315"/>
      <c r="Z1681" s="315"/>
      <c r="AA1681" s="315"/>
    </row>
    <row r="1682" spans="1:27" s="303" customFormat="1" ht="16">
      <c r="A1682" s="315" t="s">
        <v>927</v>
      </c>
      <c r="B1682" s="315"/>
      <c r="C1682" s="315"/>
      <c r="D1682" s="315"/>
      <c r="E1682" s="315"/>
      <c r="F1682" s="315"/>
      <c r="G1682" s="315"/>
      <c r="H1682" s="315"/>
      <c r="I1682" s="315"/>
      <c r="J1682" s="315"/>
      <c r="K1682" s="315"/>
      <c r="L1682" s="315"/>
      <c r="M1682" s="315"/>
      <c r="N1682" s="315"/>
      <c r="O1682" s="315"/>
      <c r="P1682" s="315"/>
      <c r="Q1682" s="315"/>
      <c r="R1682" s="315"/>
      <c r="S1682" s="315"/>
      <c r="T1682" s="315"/>
      <c r="U1682" s="315"/>
      <c r="V1682" s="315"/>
      <c r="W1682" s="315"/>
      <c r="X1682" s="315"/>
      <c r="Y1682" s="315"/>
      <c r="Z1682" s="315"/>
      <c r="AA1682" s="315"/>
    </row>
    <row r="1683" spans="1:27" s="303" customFormat="1" ht="16">
      <c r="A1683" s="315"/>
      <c r="B1683" s="315"/>
      <c r="C1683" s="315"/>
      <c r="D1683" s="315"/>
      <c r="E1683" s="315"/>
      <c r="F1683" s="315"/>
      <c r="G1683" s="315"/>
      <c r="H1683" s="315"/>
      <c r="I1683" s="315"/>
      <c r="J1683" s="315"/>
      <c r="K1683" s="315"/>
      <c r="L1683" s="315"/>
      <c r="M1683" s="315"/>
      <c r="N1683" s="315"/>
      <c r="O1683" s="315"/>
      <c r="P1683" s="315"/>
      <c r="Q1683" s="315"/>
      <c r="R1683" s="315"/>
      <c r="S1683" s="315"/>
      <c r="T1683" s="315"/>
      <c r="U1683" s="315"/>
      <c r="V1683" s="315"/>
      <c r="W1683" s="315"/>
      <c r="X1683" s="315"/>
      <c r="Y1683" s="315"/>
      <c r="Z1683" s="315"/>
      <c r="AA1683" s="315"/>
    </row>
    <row r="1684" spans="1:27" s="303" customFormat="1" ht="16">
      <c r="A1684" s="315"/>
      <c r="B1684" s="315" t="s">
        <v>861</v>
      </c>
      <c r="C1684" s="315"/>
      <c r="E1684" s="315">
        <v>80</v>
      </c>
      <c r="F1684" s="315"/>
      <c r="G1684" s="315"/>
      <c r="H1684" s="315"/>
      <c r="I1684" s="315"/>
      <c r="J1684" s="315"/>
      <c r="K1684" s="315"/>
      <c r="L1684" s="315"/>
      <c r="M1684" s="315"/>
      <c r="N1684" s="315"/>
      <c r="O1684" s="315"/>
      <c r="P1684" s="315"/>
      <c r="Q1684" s="315"/>
      <c r="R1684" s="315"/>
      <c r="S1684" s="315"/>
      <c r="T1684" s="315"/>
      <c r="U1684" s="315"/>
      <c r="V1684" s="315"/>
      <c r="W1684" s="315"/>
      <c r="X1684" s="315"/>
      <c r="Y1684" s="315"/>
      <c r="Z1684" s="315"/>
      <c r="AA1684" s="315"/>
    </row>
    <row r="1685" spans="1:27" s="303" customFormat="1" ht="16">
      <c r="A1685" s="315"/>
      <c r="B1685" s="315" t="s">
        <v>862</v>
      </c>
      <c r="C1685" s="315"/>
      <c r="E1685" s="315">
        <v>15</v>
      </c>
      <c r="F1685" s="315"/>
      <c r="G1685" s="315"/>
      <c r="H1685" s="315"/>
      <c r="I1685" s="315"/>
      <c r="J1685" s="315"/>
      <c r="K1685" s="315"/>
      <c r="L1685" s="315"/>
      <c r="M1685" s="315"/>
      <c r="N1685" s="315"/>
      <c r="O1685" s="315"/>
      <c r="P1685" s="315"/>
      <c r="Q1685" s="315"/>
      <c r="R1685" s="315"/>
      <c r="S1685" s="315"/>
      <c r="T1685" s="315"/>
      <c r="U1685" s="315"/>
      <c r="V1685" s="315"/>
      <c r="W1685" s="315"/>
      <c r="X1685" s="315"/>
      <c r="Y1685" s="315"/>
      <c r="Z1685" s="315"/>
      <c r="AA1685" s="315"/>
    </row>
    <row r="1686" spans="1:27" s="303" customFormat="1" ht="16">
      <c r="A1686" s="315"/>
      <c r="B1686" s="315" t="s">
        <v>582</v>
      </c>
      <c r="C1686" s="315"/>
      <c r="E1686" s="315">
        <v>16</v>
      </c>
      <c r="F1686" s="315"/>
      <c r="G1686" s="315"/>
      <c r="H1686" s="315"/>
      <c r="I1686" s="315"/>
      <c r="J1686" s="315"/>
      <c r="K1686" s="315"/>
      <c r="L1686" s="315"/>
      <c r="M1686" s="315"/>
      <c r="N1686" s="315"/>
      <c r="O1686" s="315"/>
      <c r="P1686" s="315"/>
      <c r="Q1686" s="315"/>
      <c r="R1686" s="315"/>
      <c r="S1686" s="315"/>
      <c r="T1686" s="315"/>
      <c r="U1686" s="315"/>
      <c r="V1686" s="315"/>
      <c r="W1686" s="315"/>
      <c r="X1686" s="315"/>
      <c r="Y1686" s="315"/>
      <c r="Z1686" s="315"/>
      <c r="AA1686" s="315"/>
    </row>
    <row r="1687" spans="1:27" s="303" customFormat="1" ht="16">
      <c r="A1687" s="315"/>
      <c r="B1687" s="315"/>
      <c r="C1687" s="315"/>
      <c r="E1687" s="369">
        <f>SUM(E1684:E1686)</f>
        <v>111</v>
      </c>
      <c r="F1687" s="315"/>
      <c r="G1687" s="315"/>
      <c r="H1687" s="315"/>
      <c r="I1687" s="315"/>
      <c r="J1687" s="315"/>
      <c r="K1687" s="315"/>
      <c r="L1687" s="315"/>
      <c r="M1687" s="315"/>
      <c r="N1687" s="315"/>
      <c r="O1687" s="315"/>
      <c r="P1687" s="315"/>
      <c r="Q1687" s="315"/>
      <c r="R1687" s="315"/>
      <c r="S1687" s="315"/>
      <c r="T1687" s="315"/>
      <c r="U1687" s="315"/>
      <c r="V1687" s="315"/>
      <c r="W1687" s="315"/>
      <c r="X1687" s="315"/>
      <c r="Y1687" s="315"/>
      <c r="Z1687" s="315"/>
      <c r="AA1687" s="315"/>
    </row>
    <row r="1688" spans="1:27" s="303" customFormat="1" ht="16">
      <c r="A1688" s="315"/>
      <c r="B1688" s="315"/>
      <c r="C1688" s="315"/>
      <c r="D1688" s="315"/>
      <c r="E1688" s="315"/>
      <c r="F1688" s="315"/>
      <c r="G1688" s="315"/>
      <c r="H1688" s="315"/>
      <c r="I1688" s="315"/>
      <c r="J1688" s="315"/>
      <c r="K1688" s="315"/>
      <c r="L1688" s="315"/>
      <c r="M1688" s="315"/>
      <c r="N1688" s="315"/>
      <c r="O1688" s="315"/>
      <c r="P1688" s="315"/>
      <c r="Q1688" s="315"/>
      <c r="R1688" s="315"/>
      <c r="S1688" s="315"/>
      <c r="T1688" s="315"/>
      <c r="U1688" s="315"/>
      <c r="V1688" s="315"/>
      <c r="W1688" s="315"/>
      <c r="X1688" s="315"/>
      <c r="Y1688" s="315"/>
      <c r="Z1688" s="315"/>
      <c r="AA1688" s="315"/>
    </row>
    <row r="1689" spans="1:27" s="303" customFormat="1" ht="16">
      <c r="A1689" s="340" t="s">
        <v>928</v>
      </c>
      <c r="B1689" s="340"/>
      <c r="C1689" s="315"/>
      <c r="D1689" s="315"/>
      <c r="E1689" s="315"/>
      <c r="F1689" s="315"/>
      <c r="G1689" s="315"/>
      <c r="H1689" s="315"/>
      <c r="I1689" s="315"/>
      <c r="J1689" s="315"/>
      <c r="K1689" s="315"/>
      <c r="L1689" s="315"/>
      <c r="M1689" s="315"/>
      <c r="N1689" s="315"/>
      <c r="O1689" s="315"/>
      <c r="P1689" s="315"/>
      <c r="Q1689" s="315"/>
      <c r="R1689" s="315"/>
      <c r="S1689" s="315"/>
      <c r="T1689" s="315"/>
      <c r="U1689" s="315"/>
      <c r="V1689" s="315"/>
      <c r="W1689" s="315"/>
      <c r="X1689" s="315"/>
      <c r="Y1689" s="315"/>
      <c r="Z1689" s="315"/>
      <c r="AA1689" s="315"/>
    </row>
    <row r="1690" spans="1:27" s="303" customFormat="1" ht="16">
      <c r="A1690" s="315"/>
      <c r="B1690" s="315"/>
      <c r="C1690" s="315"/>
      <c r="D1690" s="315"/>
      <c r="E1690" s="315"/>
      <c r="F1690" s="315"/>
      <c r="G1690" s="315"/>
      <c r="H1690" s="315"/>
      <c r="I1690" s="315"/>
      <c r="J1690" s="315"/>
      <c r="K1690" s="315"/>
      <c r="L1690" s="315"/>
      <c r="M1690" s="315"/>
      <c r="N1690" s="315"/>
      <c r="O1690" s="315"/>
      <c r="P1690" s="315"/>
      <c r="Q1690" s="315"/>
      <c r="R1690" s="315"/>
      <c r="S1690" s="315"/>
      <c r="T1690" s="315"/>
      <c r="U1690" s="315"/>
      <c r="V1690" s="315"/>
      <c r="W1690" s="315"/>
      <c r="X1690" s="315"/>
      <c r="Y1690" s="315"/>
      <c r="Z1690" s="315"/>
      <c r="AA1690" s="315"/>
    </row>
    <row r="1691" spans="1:27" s="303" customFormat="1" ht="16">
      <c r="A1691" s="315"/>
      <c r="B1691" s="315" t="s">
        <v>929</v>
      </c>
      <c r="C1691" s="315"/>
      <c r="D1691" s="315">
        <v>50</v>
      </c>
      <c r="E1691" s="315"/>
      <c r="F1691" s="315"/>
      <c r="G1691" s="315"/>
      <c r="H1691" s="315"/>
      <c r="I1691" s="315"/>
      <c r="J1691" s="315"/>
      <c r="K1691" s="315"/>
      <c r="L1691" s="315"/>
      <c r="M1691" s="315"/>
      <c r="N1691" s="315"/>
      <c r="O1691" s="315"/>
      <c r="P1691" s="315"/>
      <c r="Q1691" s="315"/>
      <c r="R1691" s="315"/>
      <c r="S1691" s="315"/>
      <c r="T1691" s="315"/>
      <c r="U1691" s="315"/>
      <c r="V1691" s="315"/>
      <c r="W1691" s="315"/>
      <c r="X1691" s="315"/>
      <c r="Y1691" s="315"/>
      <c r="Z1691" s="315"/>
      <c r="AA1691" s="315"/>
    </row>
    <row r="1692" spans="1:27" s="303" customFormat="1" ht="16">
      <c r="A1692" s="315"/>
      <c r="B1692" s="315" t="s">
        <v>849</v>
      </c>
      <c r="C1692" s="315"/>
      <c r="D1692" s="315">
        <v>80</v>
      </c>
      <c r="E1692" s="315"/>
      <c r="F1692" s="315"/>
      <c r="G1692" s="315"/>
      <c r="H1692" s="315"/>
      <c r="I1692" s="315"/>
      <c r="J1692" s="315"/>
      <c r="K1692" s="315"/>
      <c r="L1692" s="315"/>
      <c r="M1692" s="315"/>
      <c r="N1692" s="315"/>
      <c r="O1692" s="315"/>
      <c r="P1692" s="315"/>
      <c r="Q1692" s="315"/>
      <c r="R1692" s="315"/>
      <c r="S1692" s="315"/>
      <c r="T1692" s="315"/>
      <c r="U1692" s="315"/>
      <c r="V1692" s="315"/>
      <c r="W1692" s="315"/>
      <c r="X1692" s="315"/>
      <c r="Y1692" s="315"/>
      <c r="Z1692" s="315"/>
      <c r="AA1692" s="315"/>
    </row>
    <row r="1693" spans="1:27" s="303" customFormat="1" ht="16">
      <c r="A1693" s="315"/>
      <c r="B1693" s="315"/>
      <c r="C1693" s="315"/>
      <c r="D1693" s="369">
        <f>D1691+D1692</f>
        <v>130</v>
      </c>
      <c r="E1693" s="315"/>
      <c r="F1693" s="315"/>
      <c r="G1693" s="315"/>
      <c r="H1693" s="315"/>
      <c r="I1693" s="315"/>
      <c r="J1693" s="315"/>
      <c r="K1693" s="315"/>
      <c r="L1693" s="315"/>
      <c r="M1693" s="315"/>
      <c r="N1693" s="315"/>
      <c r="O1693" s="315"/>
      <c r="P1693" s="315"/>
      <c r="Q1693" s="315"/>
      <c r="R1693" s="315"/>
      <c r="S1693" s="315"/>
      <c r="T1693" s="315"/>
      <c r="U1693" s="315"/>
      <c r="V1693" s="315"/>
      <c r="W1693" s="315"/>
      <c r="X1693" s="315"/>
      <c r="Y1693" s="315"/>
      <c r="Z1693" s="315"/>
      <c r="AA1693" s="315"/>
    </row>
    <row r="1694" spans="1:27" s="303" customFormat="1" ht="16">
      <c r="A1694" s="315"/>
      <c r="B1694" s="315"/>
      <c r="C1694" s="315"/>
      <c r="D1694" s="315"/>
      <c r="E1694" s="315"/>
      <c r="F1694" s="315"/>
      <c r="G1694" s="315"/>
      <c r="H1694" s="315"/>
      <c r="I1694" s="315"/>
      <c r="J1694" s="315"/>
      <c r="K1694" s="315"/>
      <c r="L1694" s="315"/>
      <c r="M1694" s="315"/>
      <c r="N1694" s="315"/>
      <c r="O1694" s="315"/>
      <c r="P1694" s="315"/>
      <c r="Q1694" s="315"/>
      <c r="R1694" s="315"/>
      <c r="S1694" s="315"/>
      <c r="T1694" s="315"/>
      <c r="U1694" s="315"/>
      <c r="V1694" s="315"/>
      <c r="W1694" s="315"/>
      <c r="X1694" s="315"/>
      <c r="Y1694" s="315"/>
      <c r="Z1694" s="315"/>
      <c r="AA1694" s="315"/>
    </row>
    <row r="1695" spans="1:27" s="303" customFormat="1" ht="16">
      <c r="A1695" s="340" t="s">
        <v>930</v>
      </c>
      <c r="B1695" s="340"/>
      <c r="C1695" s="315"/>
      <c r="D1695" s="315"/>
      <c r="E1695" s="315"/>
      <c r="F1695" s="315"/>
      <c r="G1695" s="315"/>
      <c r="H1695" s="315"/>
      <c r="I1695" s="315"/>
      <c r="J1695" s="315"/>
      <c r="K1695" s="315"/>
      <c r="L1695" s="315"/>
      <c r="M1695" s="315"/>
      <c r="N1695" s="315"/>
      <c r="O1695" s="315"/>
      <c r="P1695" s="315"/>
      <c r="Q1695" s="315"/>
      <c r="R1695" s="315"/>
      <c r="S1695" s="315"/>
      <c r="T1695" s="315"/>
      <c r="U1695" s="315"/>
      <c r="V1695" s="315"/>
      <c r="W1695" s="315"/>
      <c r="X1695" s="315"/>
      <c r="Y1695" s="315"/>
      <c r="Z1695" s="315"/>
      <c r="AA1695" s="315"/>
    </row>
    <row r="1696" spans="1:27" s="303" customFormat="1" ht="16">
      <c r="A1696" s="315"/>
      <c r="B1696" s="315"/>
      <c r="C1696" s="315"/>
      <c r="D1696" s="315"/>
      <c r="E1696" s="315"/>
      <c r="F1696" s="315"/>
      <c r="G1696" s="315"/>
      <c r="H1696" s="315"/>
      <c r="I1696" s="315"/>
      <c r="J1696" s="315"/>
      <c r="K1696" s="315"/>
      <c r="L1696" s="315"/>
      <c r="M1696" s="315"/>
      <c r="N1696" s="315"/>
      <c r="O1696" s="315"/>
      <c r="P1696" s="315"/>
      <c r="Q1696" s="315"/>
      <c r="R1696" s="315"/>
      <c r="S1696" s="315"/>
      <c r="T1696" s="315"/>
      <c r="U1696" s="315"/>
      <c r="V1696" s="315"/>
      <c r="W1696" s="315"/>
      <c r="X1696" s="315"/>
      <c r="Y1696" s="315"/>
      <c r="Z1696" s="315"/>
      <c r="AA1696" s="315"/>
    </row>
    <row r="1697" spans="1:27" s="303" customFormat="1" ht="16">
      <c r="A1697" s="315"/>
      <c r="B1697" s="315" t="s">
        <v>931</v>
      </c>
      <c r="C1697" s="315"/>
      <c r="D1697" s="315">
        <f>D1547</f>
        <v>90</v>
      </c>
      <c r="E1697" s="315"/>
      <c r="F1697" s="315"/>
      <c r="G1697" s="315"/>
      <c r="H1697" s="315"/>
      <c r="I1697" s="315"/>
      <c r="J1697" s="315"/>
      <c r="K1697" s="315"/>
      <c r="L1697" s="315"/>
      <c r="M1697" s="315"/>
      <c r="N1697" s="315"/>
      <c r="O1697" s="315"/>
      <c r="P1697" s="315"/>
      <c r="Q1697" s="315"/>
      <c r="R1697" s="315"/>
      <c r="S1697" s="315"/>
      <c r="T1697" s="315"/>
      <c r="U1697" s="315"/>
      <c r="V1697" s="315"/>
      <c r="W1697" s="315"/>
      <c r="X1697" s="315"/>
      <c r="Y1697" s="315"/>
      <c r="Z1697" s="315"/>
      <c r="AA1697" s="315"/>
    </row>
    <row r="1698" spans="1:27" s="303" customFormat="1" ht="16">
      <c r="A1698" s="315"/>
      <c r="B1698" s="315" t="s">
        <v>721</v>
      </c>
      <c r="C1698" s="315"/>
      <c r="D1698" s="315">
        <v>12</v>
      </c>
      <c r="E1698" s="315"/>
      <c r="F1698" s="315"/>
      <c r="G1698" s="315"/>
      <c r="H1698" s="315"/>
      <c r="I1698" s="315"/>
      <c r="J1698" s="315"/>
      <c r="K1698" s="315"/>
      <c r="L1698" s="315"/>
      <c r="M1698" s="315"/>
      <c r="N1698" s="315"/>
      <c r="O1698" s="315"/>
      <c r="P1698" s="315"/>
      <c r="Q1698" s="315"/>
      <c r="R1698" s="315"/>
      <c r="S1698" s="315"/>
      <c r="T1698" s="315"/>
      <c r="U1698" s="315"/>
      <c r="V1698" s="315"/>
      <c r="W1698" s="315"/>
      <c r="X1698" s="315"/>
      <c r="Y1698" s="315"/>
      <c r="Z1698" s="315"/>
      <c r="AA1698" s="315"/>
    </row>
    <row r="1699" spans="1:27" s="303" customFormat="1" ht="16">
      <c r="A1699" s="315"/>
      <c r="B1699" s="315"/>
      <c r="C1699" s="315"/>
      <c r="D1699" s="369">
        <f>D1697+D1698</f>
        <v>102</v>
      </c>
      <c r="E1699" s="315"/>
      <c r="F1699" s="315"/>
      <c r="G1699" s="315"/>
      <c r="H1699" s="315"/>
      <c r="I1699" s="315"/>
      <c r="J1699" s="315"/>
      <c r="K1699" s="315"/>
      <c r="L1699" s="315"/>
      <c r="M1699" s="315"/>
      <c r="N1699" s="315"/>
      <c r="O1699" s="315"/>
      <c r="P1699" s="315"/>
      <c r="Q1699" s="315"/>
      <c r="R1699" s="315"/>
      <c r="S1699" s="315"/>
      <c r="T1699" s="315"/>
      <c r="U1699" s="315"/>
      <c r="V1699" s="315"/>
      <c r="W1699" s="315"/>
      <c r="X1699" s="315"/>
      <c r="Y1699" s="315"/>
      <c r="Z1699" s="315"/>
      <c r="AA1699" s="315"/>
    </row>
    <row r="1700" spans="1:27" s="303" customFormat="1" ht="16">
      <c r="A1700" s="315"/>
      <c r="B1700" s="315"/>
      <c r="C1700" s="315"/>
      <c r="D1700" s="315"/>
      <c r="E1700" s="315"/>
      <c r="F1700" s="315"/>
      <c r="G1700" s="315"/>
      <c r="H1700" s="315"/>
      <c r="I1700" s="315"/>
      <c r="J1700" s="315"/>
      <c r="K1700" s="315"/>
      <c r="L1700" s="315"/>
      <c r="M1700" s="315"/>
      <c r="N1700" s="315"/>
      <c r="O1700" s="315"/>
      <c r="P1700" s="315"/>
      <c r="Q1700" s="315"/>
      <c r="R1700" s="315"/>
      <c r="S1700" s="315"/>
      <c r="T1700" s="315"/>
      <c r="U1700" s="315"/>
      <c r="V1700" s="315"/>
      <c r="W1700" s="315"/>
      <c r="X1700" s="315"/>
      <c r="Y1700" s="315"/>
      <c r="Z1700" s="315"/>
      <c r="AA1700" s="315"/>
    </row>
    <row r="1701" spans="1:27" s="303" customFormat="1" ht="16">
      <c r="A1701" s="340" t="s">
        <v>932</v>
      </c>
      <c r="B1701" s="340"/>
      <c r="C1701" s="315"/>
      <c r="D1701" s="315"/>
      <c r="E1701" s="315"/>
      <c r="F1701" s="315"/>
      <c r="G1701" s="315"/>
      <c r="H1701" s="315"/>
      <c r="I1701" s="315"/>
      <c r="J1701" s="315"/>
      <c r="K1701" s="315"/>
      <c r="L1701" s="315"/>
      <c r="M1701" s="315"/>
      <c r="N1701" s="315"/>
      <c r="O1701" s="315"/>
      <c r="P1701" s="315"/>
      <c r="Q1701" s="315"/>
      <c r="R1701" s="315"/>
      <c r="S1701" s="315"/>
      <c r="T1701" s="315"/>
      <c r="U1701" s="315"/>
      <c r="V1701" s="315"/>
      <c r="W1701" s="315"/>
      <c r="X1701" s="315"/>
      <c r="Y1701" s="315"/>
      <c r="Z1701" s="315"/>
      <c r="AA1701" s="315"/>
    </row>
    <row r="1702" spans="1:27" s="303" customFormat="1" ht="16">
      <c r="A1702" s="315" t="s">
        <v>933</v>
      </c>
      <c r="B1702" s="315"/>
      <c r="C1702" s="315"/>
      <c r="D1702" s="315"/>
      <c r="E1702" s="315"/>
      <c r="F1702" s="315"/>
      <c r="G1702" s="315"/>
      <c r="H1702" s="315"/>
      <c r="I1702" s="315"/>
      <c r="J1702" s="315"/>
      <c r="K1702" s="315"/>
      <c r="L1702" s="315"/>
      <c r="M1702" s="315"/>
      <c r="N1702" s="315"/>
      <c r="O1702" s="315"/>
      <c r="P1702" s="315"/>
      <c r="Q1702" s="315"/>
      <c r="R1702" s="315"/>
      <c r="S1702" s="315"/>
      <c r="T1702" s="315"/>
      <c r="U1702" s="315"/>
      <c r="V1702" s="315"/>
      <c r="W1702" s="315"/>
      <c r="X1702" s="315"/>
      <c r="Y1702" s="315"/>
      <c r="Z1702" s="315"/>
      <c r="AA1702" s="315"/>
    </row>
    <row r="1703" spans="1:27" s="303" customFormat="1" ht="16">
      <c r="A1703" s="315" t="s">
        <v>934</v>
      </c>
      <c r="B1703" s="315"/>
      <c r="C1703" s="315"/>
      <c r="D1703" s="315"/>
      <c r="E1703" s="315"/>
      <c r="F1703" s="315"/>
      <c r="G1703" s="315"/>
      <c r="H1703" s="315"/>
      <c r="I1703" s="315"/>
      <c r="J1703" s="315"/>
      <c r="K1703" s="315"/>
      <c r="L1703" s="315"/>
      <c r="M1703" s="315"/>
      <c r="N1703" s="315"/>
      <c r="O1703" s="315"/>
      <c r="P1703" s="315"/>
      <c r="Q1703" s="315"/>
      <c r="R1703" s="315"/>
      <c r="S1703" s="315"/>
      <c r="T1703" s="315"/>
      <c r="U1703" s="315"/>
      <c r="V1703" s="315"/>
      <c r="W1703" s="315"/>
      <c r="X1703" s="315"/>
      <c r="Y1703" s="315"/>
      <c r="Z1703" s="315"/>
      <c r="AA1703" s="315"/>
    </row>
    <row r="1704" spans="1:27" s="303" customFormat="1" ht="16">
      <c r="A1704" s="315"/>
      <c r="B1704" s="315"/>
      <c r="C1704" s="315"/>
      <c r="D1704" s="315"/>
      <c r="E1704" s="315"/>
      <c r="F1704" s="315"/>
      <c r="G1704" s="315"/>
      <c r="H1704" s="315"/>
      <c r="I1704" s="315"/>
      <c r="J1704" s="315"/>
      <c r="K1704" s="315"/>
      <c r="L1704" s="315"/>
      <c r="M1704" s="315"/>
      <c r="N1704" s="315"/>
      <c r="O1704" s="315"/>
      <c r="P1704" s="315"/>
      <c r="Q1704" s="315"/>
      <c r="R1704" s="315"/>
      <c r="S1704" s="315"/>
      <c r="T1704" s="315"/>
      <c r="U1704" s="315"/>
      <c r="V1704" s="315"/>
      <c r="W1704" s="315"/>
      <c r="X1704" s="315"/>
      <c r="Y1704" s="315"/>
      <c r="Z1704" s="315"/>
      <c r="AA1704" s="315"/>
    </row>
    <row r="1705" spans="1:27" s="303" customFormat="1" ht="16">
      <c r="A1705" s="315"/>
      <c r="B1705" s="315"/>
      <c r="C1705" s="340" t="s">
        <v>711</v>
      </c>
      <c r="D1705" s="340" t="s">
        <v>215</v>
      </c>
      <c r="E1705" s="340" t="s">
        <v>495</v>
      </c>
      <c r="F1705" s="315"/>
      <c r="G1705" s="315"/>
      <c r="H1705" s="315"/>
      <c r="I1705" s="315"/>
      <c r="J1705" s="315"/>
      <c r="K1705" s="315"/>
      <c r="L1705" s="315"/>
      <c r="M1705" s="315"/>
      <c r="N1705" s="315"/>
      <c r="O1705" s="315"/>
      <c r="P1705" s="315"/>
      <c r="Q1705" s="315"/>
      <c r="R1705" s="315"/>
      <c r="S1705" s="315"/>
      <c r="T1705" s="315"/>
      <c r="U1705" s="315"/>
      <c r="V1705" s="315"/>
      <c r="W1705" s="315"/>
      <c r="X1705" s="315"/>
      <c r="Y1705" s="315"/>
      <c r="Z1705" s="315"/>
      <c r="AA1705" s="315"/>
    </row>
    <row r="1706" spans="1:27" s="303" customFormat="1" ht="16">
      <c r="A1706" s="315"/>
      <c r="B1706" s="315" t="s">
        <v>935</v>
      </c>
      <c r="C1706" s="315">
        <f>D1539</f>
        <v>550</v>
      </c>
      <c r="D1706" s="315">
        <f>D1542</f>
        <v>200</v>
      </c>
      <c r="E1706" s="315">
        <f t="shared" ref="E1706:E1707" si="50">C1706+D1706</f>
        <v>750</v>
      </c>
      <c r="F1706" s="315"/>
      <c r="G1706" s="315"/>
      <c r="H1706" s="315"/>
      <c r="I1706" s="315"/>
      <c r="J1706" s="315"/>
      <c r="K1706" s="315"/>
      <c r="L1706" s="315"/>
      <c r="M1706" s="315"/>
      <c r="N1706" s="315"/>
      <c r="O1706" s="315"/>
      <c r="P1706" s="315"/>
      <c r="Q1706" s="315"/>
      <c r="R1706" s="315"/>
      <c r="S1706" s="315"/>
      <c r="T1706" s="315"/>
      <c r="U1706" s="315"/>
      <c r="V1706" s="315"/>
      <c r="W1706" s="315"/>
      <c r="X1706" s="315"/>
      <c r="Y1706" s="315"/>
      <c r="Z1706" s="315"/>
      <c r="AA1706" s="315"/>
    </row>
    <row r="1707" spans="1:27" s="303" customFormat="1" ht="16">
      <c r="A1707" s="315"/>
      <c r="B1707" s="321" t="s">
        <v>936</v>
      </c>
      <c r="C1707" s="325">
        <f>D1540</f>
        <v>-50</v>
      </c>
      <c r="D1707" s="325">
        <f>D1543</f>
        <v>-20</v>
      </c>
      <c r="E1707" s="325">
        <f t="shared" si="50"/>
        <v>-70</v>
      </c>
      <c r="F1707" s="315"/>
      <c r="G1707" s="315"/>
      <c r="H1707" s="315"/>
      <c r="I1707" s="315"/>
      <c r="J1707" s="315"/>
      <c r="K1707" s="315"/>
      <c r="L1707" s="315"/>
      <c r="M1707" s="315"/>
      <c r="N1707" s="315"/>
      <c r="O1707" s="315"/>
      <c r="P1707" s="315"/>
      <c r="Q1707" s="315"/>
      <c r="R1707" s="315"/>
      <c r="S1707" s="315"/>
      <c r="T1707" s="315"/>
      <c r="U1707" s="315"/>
      <c r="V1707" s="315"/>
      <c r="W1707" s="315"/>
      <c r="X1707" s="315"/>
      <c r="Y1707" s="315"/>
      <c r="Z1707" s="315"/>
      <c r="AA1707" s="315"/>
    </row>
    <row r="1708" spans="1:27" s="322" customFormat="1" ht="21">
      <c r="A1708" s="321"/>
      <c r="B1708" s="321" t="s">
        <v>937</v>
      </c>
      <c r="C1708" s="441">
        <f t="shared" ref="C1708:E1708" si="51">C1706+C1707</f>
        <v>500</v>
      </c>
      <c r="D1708" s="441">
        <f t="shared" si="51"/>
        <v>180</v>
      </c>
      <c r="E1708" s="442">
        <f t="shared" si="51"/>
        <v>680</v>
      </c>
      <c r="F1708" s="321" t="s">
        <v>938</v>
      </c>
      <c r="G1708" s="321"/>
      <c r="H1708" s="321"/>
      <c r="I1708" s="321"/>
      <c r="J1708" s="321"/>
      <c r="K1708" s="321"/>
      <c r="L1708" s="321"/>
      <c r="M1708" s="321"/>
      <c r="N1708" s="321"/>
      <c r="O1708" s="321"/>
      <c r="P1708" s="321"/>
      <c r="Q1708" s="321"/>
      <c r="R1708" s="321"/>
      <c r="S1708" s="321"/>
      <c r="T1708" s="321"/>
      <c r="U1708" s="321"/>
      <c r="V1708" s="321"/>
      <c r="W1708" s="321"/>
      <c r="X1708" s="321"/>
      <c r="Y1708" s="321"/>
      <c r="Z1708" s="321"/>
      <c r="AA1708" s="321"/>
    </row>
    <row r="1709" spans="1:27" s="303" customFormat="1" ht="16">
      <c r="A1709" s="315"/>
      <c r="B1709" s="315"/>
      <c r="C1709" s="315"/>
      <c r="D1709" s="315"/>
      <c r="E1709" s="315"/>
      <c r="F1709" s="315" t="s">
        <v>939</v>
      </c>
      <c r="G1709" s="315"/>
      <c r="H1709" s="315"/>
      <c r="I1709" s="315"/>
      <c r="J1709" s="315"/>
      <c r="K1709" s="315"/>
      <c r="L1709" s="315"/>
      <c r="M1709" s="315"/>
      <c r="N1709" s="315"/>
      <c r="O1709" s="315"/>
      <c r="P1709" s="315"/>
      <c r="Q1709" s="315"/>
      <c r="R1709" s="315"/>
      <c r="S1709" s="315"/>
      <c r="T1709" s="315"/>
      <c r="U1709" s="315"/>
      <c r="V1709" s="315"/>
      <c r="W1709" s="315"/>
      <c r="X1709" s="315"/>
      <c r="Y1709" s="315"/>
      <c r="Z1709" s="315"/>
      <c r="AA1709" s="315"/>
    </row>
    <row r="1710" spans="1:27" s="303" customFormat="1" ht="16">
      <c r="A1710" s="340" t="s">
        <v>940</v>
      </c>
      <c r="B1710" s="340"/>
      <c r="C1710" s="315"/>
      <c r="D1710" s="315"/>
      <c r="E1710" s="315"/>
      <c r="F1710" s="315"/>
      <c r="G1710" s="315"/>
      <c r="H1710" s="315"/>
      <c r="I1710" s="315"/>
      <c r="J1710" s="315"/>
      <c r="K1710" s="315"/>
      <c r="L1710" s="315"/>
      <c r="M1710" s="315"/>
      <c r="N1710" s="315"/>
      <c r="O1710" s="315"/>
      <c r="P1710" s="315"/>
      <c r="Q1710" s="315"/>
      <c r="R1710" s="315"/>
      <c r="S1710" s="315"/>
      <c r="T1710" s="315"/>
      <c r="U1710" s="315"/>
      <c r="V1710" s="315"/>
      <c r="W1710" s="315"/>
      <c r="X1710" s="315"/>
      <c r="Y1710" s="315"/>
      <c r="Z1710" s="315"/>
      <c r="AA1710" s="315"/>
    </row>
    <row r="1711" spans="1:27" s="303" customFormat="1" ht="16">
      <c r="A1711" s="315" t="s">
        <v>941</v>
      </c>
      <c r="B1711" s="315"/>
      <c r="C1711" s="315"/>
      <c r="D1711" s="315"/>
      <c r="E1711" s="315"/>
      <c r="F1711" s="315"/>
      <c r="G1711" s="315"/>
      <c r="H1711" s="315"/>
      <c r="I1711" s="315"/>
      <c r="J1711" s="315"/>
      <c r="K1711" s="315"/>
      <c r="L1711" s="315"/>
      <c r="M1711" s="315"/>
      <c r="N1711" s="315"/>
      <c r="O1711" s="315"/>
      <c r="P1711" s="315"/>
      <c r="Q1711" s="315"/>
      <c r="R1711" s="315"/>
      <c r="S1711" s="315"/>
      <c r="T1711" s="315"/>
      <c r="U1711" s="315"/>
      <c r="V1711" s="315"/>
      <c r="W1711" s="315"/>
      <c r="X1711" s="315"/>
      <c r="Y1711" s="315"/>
      <c r="Z1711" s="315"/>
      <c r="AA1711" s="315"/>
    </row>
    <row r="1712" spans="1:27" s="303" customFormat="1" ht="16">
      <c r="A1712" s="315"/>
      <c r="B1712" s="315"/>
      <c r="C1712" s="315"/>
      <c r="D1712" s="315"/>
      <c r="E1712" s="315"/>
      <c r="F1712" s="315"/>
      <c r="G1712" s="315"/>
      <c r="H1712" s="315"/>
      <c r="I1712" s="315"/>
      <c r="J1712" s="315"/>
      <c r="K1712" s="315"/>
      <c r="L1712" s="315"/>
      <c r="M1712" s="315"/>
      <c r="N1712" s="315"/>
      <c r="O1712" s="315"/>
      <c r="P1712" s="315"/>
      <c r="Q1712" s="315"/>
      <c r="R1712" s="315"/>
      <c r="S1712" s="315"/>
      <c r="T1712" s="315"/>
      <c r="U1712" s="315"/>
      <c r="V1712" s="315"/>
      <c r="W1712" s="315"/>
      <c r="X1712" s="315"/>
      <c r="Y1712" s="315"/>
      <c r="Z1712" s="315"/>
      <c r="AA1712" s="315"/>
    </row>
    <row r="1713" spans="1:27" s="303" customFormat="1" ht="16">
      <c r="A1713" s="315"/>
      <c r="B1713" s="315" t="s">
        <v>552</v>
      </c>
      <c r="C1713" s="315"/>
      <c r="D1713" s="315">
        <f>E1548</f>
        <v>120</v>
      </c>
      <c r="E1713" s="315"/>
      <c r="F1713" s="315"/>
      <c r="G1713" s="315"/>
      <c r="H1713" s="315"/>
      <c r="I1713" s="315"/>
      <c r="J1713" s="315"/>
      <c r="K1713" s="315"/>
      <c r="L1713" s="315"/>
      <c r="M1713" s="315"/>
      <c r="N1713" s="315"/>
      <c r="O1713" s="315"/>
      <c r="P1713" s="315"/>
      <c r="Q1713" s="315"/>
      <c r="R1713" s="315"/>
      <c r="S1713" s="315"/>
      <c r="T1713" s="315"/>
      <c r="U1713" s="315"/>
      <c r="V1713" s="315"/>
      <c r="W1713" s="315"/>
      <c r="X1713" s="315"/>
      <c r="Y1713" s="315"/>
      <c r="Z1713" s="315"/>
      <c r="AA1713" s="315"/>
    </row>
    <row r="1714" spans="1:27" s="303" customFormat="1" ht="16">
      <c r="A1714" s="315"/>
      <c r="B1714" s="315" t="s">
        <v>719</v>
      </c>
      <c r="C1714" s="315"/>
      <c r="D1714" s="315">
        <v>33</v>
      </c>
      <c r="E1714" s="315"/>
      <c r="F1714" s="315"/>
      <c r="G1714" s="315"/>
      <c r="H1714" s="315"/>
      <c r="I1714" s="315"/>
      <c r="J1714" s="315"/>
      <c r="K1714" s="315"/>
      <c r="L1714" s="315"/>
      <c r="M1714" s="315"/>
      <c r="N1714" s="315"/>
      <c r="O1714" s="315"/>
      <c r="P1714" s="315"/>
      <c r="Q1714" s="315"/>
      <c r="R1714" s="315"/>
      <c r="S1714" s="315"/>
      <c r="T1714" s="315"/>
      <c r="U1714" s="315"/>
      <c r="V1714" s="315"/>
      <c r="W1714" s="315"/>
      <c r="X1714" s="315"/>
      <c r="Y1714" s="315"/>
      <c r="Z1714" s="315"/>
      <c r="AA1714" s="315"/>
    </row>
    <row r="1715" spans="1:27" s="303" customFormat="1" ht="16">
      <c r="A1715" s="315"/>
      <c r="B1715" s="315"/>
      <c r="C1715" s="315"/>
      <c r="D1715" s="369">
        <f>D1713+D1714</f>
        <v>153</v>
      </c>
      <c r="E1715" s="315"/>
      <c r="F1715" s="315"/>
      <c r="G1715" s="315"/>
      <c r="H1715" s="315"/>
      <c r="I1715" s="315"/>
      <c r="J1715" s="315"/>
      <c r="K1715" s="315"/>
      <c r="L1715" s="315"/>
      <c r="M1715" s="315"/>
      <c r="N1715" s="315"/>
      <c r="O1715" s="315"/>
      <c r="P1715" s="315"/>
      <c r="Q1715" s="315"/>
      <c r="R1715" s="315"/>
      <c r="S1715" s="315"/>
      <c r="T1715" s="315"/>
      <c r="U1715" s="315"/>
      <c r="V1715" s="315"/>
      <c r="W1715" s="315"/>
      <c r="X1715" s="315"/>
      <c r="Y1715" s="315"/>
      <c r="Z1715" s="315"/>
      <c r="AA1715" s="315"/>
    </row>
    <row r="1716" spans="1:27" s="303" customFormat="1" ht="16">
      <c r="A1716" s="315"/>
      <c r="B1716" s="315"/>
      <c r="C1716" s="315"/>
      <c r="D1716" s="315"/>
      <c r="E1716" s="315"/>
      <c r="F1716" s="315"/>
      <c r="G1716" s="315"/>
      <c r="H1716" s="315"/>
      <c r="I1716" s="315"/>
      <c r="J1716" s="315"/>
      <c r="K1716" s="315"/>
      <c r="L1716" s="315"/>
      <c r="M1716" s="315"/>
      <c r="N1716" s="315"/>
      <c r="O1716" s="315"/>
      <c r="P1716" s="315"/>
      <c r="Q1716" s="315"/>
      <c r="R1716" s="315"/>
      <c r="S1716" s="315"/>
      <c r="T1716" s="315"/>
      <c r="U1716" s="315"/>
      <c r="V1716" s="315"/>
      <c r="W1716" s="315"/>
      <c r="X1716" s="315"/>
      <c r="Y1716" s="315"/>
      <c r="Z1716" s="315"/>
      <c r="AA1716" s="315"/>
    </row>
    <row r="1717" spans="1:27" s="303" customFormat="1" ht="16">
      <c r="A1717" s="315"/>
      <c r="B1717" s="315"/>
      <c r="C1717" s="315"/>
      <c r="D1717" s="315"/>
      <c r="E1717" s="315"/>
      <c r="F1717" s="315"/>
      <c r="G1717" s="315"/>
      <c r="H1717" s="315"/>
      <c r="I1717" s="315"/>
      <c r="J1717" s="315"/>
      <c r="K1717" s="315"/>
      <c r="L1717" s="315"/>
      <c r="M1717" s="315"/>
      <c r="N1717" s="315"/>
      <c r="O1717" s="315"/>
      <c r="P1717" s="315"/>
      <c r="Q1717" s="315"/>
      <c r="R1717" s="315"/>
      <c r="S1717" s="315"/>
      <c r="T1717" s="315"/>
      <c r="U1717" s="315"/>
      <c r="V1717" s="315"/>
      <c r="W1717" s="315"/>
      <c r="X1717" s="315"/>
      <c r="Y1717" s="315"/>
      <c r="Z1717" s="315"/>
      <c r="AA1717" s="315"/>
    </row>
    <row r="1718" spans="1:27" s="303" customFormat="1" ht="16">
      <c r="A1718" s="315"/>
      <c r="B1718" s="315"/>
      <c r="C1718" s="315"/>
      <c r="D1718" s="315"/>
      <c r="E1718" s="315"/>
      <c r="F1718" s="315"/>
      <c r="G1718" s="315"/>
      <c r="H1718" s="315"/>
      <c r="I1718" s="315"/>
      <c r="J1718" s="315"/>
      <c r="K1718" s="315"/>
      <c r="L1718" s="315"/>
      <c r="M1718" s="315"/>
      <c r="N1718" s="315"/>
      <c r="O1718" s="315"/>
      <c r="P1718" s="315"/>
      <c r="Q1718" s="315"/>
      <c r="R1718" s="315"/>
      <c r="S1718" s="315"/>
      <c r="T1718" s="315"/>
      <c r="U1718" s="315"/>
      <c r="V1718" s="315"/>
      <c r="W1718" s="315"/>
      <c r="X1718" s="315"/>
      <c r="Y1718" s="315"/>
      <c r="Z1718" s="315"/>
      <c r="AA1718" s="315"/>
    </row>
    <row r="1719" spans="1:27" s="303" customFormat="1" ht="16">
      <c r="A1719" s="315"/>
      <c r="B1719" s="315"/>
      <c r="C1719" s="315"/>
      <c r="D1719" s="315"/>
      <c r="E1719" s="315"/>
      <c r="F1719" s="315"/>
      <c r="G1719" s="315"/>
      <c r="H1719" s="315"/>
      <c r="I1719" s="315"/>
      <c r="J1719" s="315"/>
      <c r="K1719" s="315"/>
      <c r="L1719" s="315"/>
      <c r="M1719" s="315"/>
      <c r="N1719" s="315"/>
      <c r="O1719" s="315"/>
      <c r="P1719" s="315"/>
      <c r="Q1719" s="315"/>
      <c r="R1719" s="315"/>
      <c r="S1719" s="315"/>
      <c r="T1719" s="315"/>
      <c r="U1719" s="315"/>
      <c r="V1719" s="315"/>
      <c r="W1719" s="315"/>
      <c r="X1719" s="315"/>
      <c r="Y1719" s="315"/>
      <c r="Z1719" s="315"/>
      <c r="AA1719" s="315"/>
    </row>
    <row r="1720" spans="1:27" s="303" customFormat="1" ht="16">
      <c r="A1720" s="315"/>
      <c r="B1720" s="315"/>
      <c r="C1720" s="315"/>
      <c r="D1720" s="315"/>
      <c r="E1720" s="315"/>
      <c r="F1720" s="315"/>
      <c r="G1720" s="315"/>
      <c r="H1720" s="315"/>
      <c r="I1720" s="315"/>
      <c r="J1720" s="315"/>
      <c r="K1720" s="315"/>
      <c r="L1720" s="315"/>
      <c r="M1720" s="315"/>
      <c r="N1720" s="315"/>
      <c r="O1720" s="315"/>
      <c r="P1720" s="315"/>
      <c r="Q1720" s="315"/>
      <c r="R1720" s="315"/>
      <c r="S1720" s="315"/>
      <c r="T1720" s="315"/>
      <c r="U1720" s="315"/>
      <c r="V1720" s="315"/>
      <c r="W1720" s="315"/>
      <c r="X1720" s="315"/>
      <c r="Y1720" s="315"/>
      <c r="Z1720" s="315"/>
      <c r="AA1720" s="315"/>
    </row>
    <row r="1721" spans="1:27" s="303" customFormat="1" ht="16">
      <c r="A1721" s="315"/>
      <c r="B1721" s="315"/>
      <c r="C1721" s="315"/>
      <c r="D1721" s="315"/>
      <c r="E1721" s="315"/>
      <c r="F1721" s="315"/>
      <c r="G1721" s="315"/>
      <c r="H1721" s="315"/>
      <c r="I1721" s="315"/>
      <c r="J1721" s="315"/>
      <c r="K1721" s="315"/>
      <c r="L1721" s="315"/>
      <c r="M1721" s="315"/>
      <c r="N1721" s="315"/>
      <c r="O1721" s="315"/>
      <c r="P1721" s="315"/>
      <c r="Q1721" s="315"/>
      <c r="R1721" s="315"/>
      <c r="S1721" s="315"/>
      <c r="T1721" s="315"/>
      <c r="U1721" s="315"/>
      <c r="V1721" s="315"/>
      <c r="W1721" s="315"/>
      <c r="X1721" s="315"/>
      <c r="Y1721" s="315"/>
      <c r="Z1721" s="315"/>
      <c r="AA1721" s="315"/>
    </row>
    <row r="1722" spans="1:27" s="303" customFormat="1" ht="16">
      <c r="A1722" s="315"/>
      <c r="B1722" s="315"/>
      <c r="C1722" s="315"/>
      <c r="D1722" s="315"/>
      <c r="E1722" s="315"/>
      <c r="F1722" s="315"/>
      <c r="G1722" s="315"/>
      <c r="H1722" s="315"/>
      <c r="I1722" s="315"/>
      <c r="J1722" s="315"/>
      <c r="K1722" s="315"/>
      <c r="L1722" s="315"/>
      <c r="M1722" s="315"/>
      <c r="N1722" s="315"/>
      <c r="O1722" s="315"/>
      <c r="P1722" s="315"/>
      <c r="Q1722" s="315"/>
      <c r="R1722" s="315"/>
      <c r="S1722" s="315"/>
      <c r="T1722" s="315"/>
      <c r="U1722" s="315"/>
      <c r="V1722" s="315"/>
      <c r="W1722" s="315"/>
      <c r="X1722" s="315"/>
      <c r="Y1722" s="315"/>
      <c r="Z1722" s="315"/>
      <c r="AA1722" s="315"/>
    </row>
    <row r="1723" spans="1:27" s="303" customFormat="1" ht="16">
      <c r="A1723" s="315"/>
      <c r="B1723" s="315"/>
      <c r="C1723" s="315"/>
      <c r="D1723" s="315"/>
      <c r="E1723" s="315"/>
      <c r="F1723" s="315"/>
      <c r="G1723" s="315"/>
      <c r="H1723" s="315"/>
      <c r="I1723" s="315"/>
      <c r="J1723" s="315"/>
      <c r="K1723" s="315"/>
      <c r="L1723" s="315"/>
      <c r="M1723" s="315"/>
      <c r="N1723" s="315"/>
      <c r="O1723" s="315"/>
      <c r="P1723" s="315"/>
      <c r="Q1723" s="315"/>
      <c r="R1723" s="315"/>
      <c r="S1723" s="315"/>
      <c r="T1723" s="315"/>
      <c r="U1723" s="315"/>
      <c r="V1723" s="315"/>
      <c r="W1723" s="315"/>
      <c r="X1723" s="315"/>
      <c r="Y1723" s="315"/>
      <c r="Z1723" s="315"/>
      <c r="AA1723" s="315"/>
    </row>
    <row r="1724" spans="1:27" s="303" customFormat="1" ht="16">
      <c r="A1724" s="315"/>
      <c r="B1724" s="315"/>
      <c r="C1724" s="315"/>
      <c r="D1724" s="315"/>
      <c r="E1724" s="315"/>
      <c r="F1724" s="315"/>
      <c r="G1724" s="315"/>
      <c r="H1724" s="315"/>
      <c r="I1724" s="315"/>
      <c r="J1724" s="315"/>
      <c r="K1724" s="315"/>
      <c r="L1724" s="315"/>
      <c r="M1724" s="315"/>
      <c r="N1724" s="315"/>
      <c r="O1724" s="315"/>
      <c r="P1724" s="315"/>
      <c r="Q1724" s="315"/>
      <c r="R1724" s="315"/>
      <c r="S1724" s="315"/>
      <c r="T1724" s="315"/>
      <c r="U1724" s="315"/>
      <c r="V1724" s="315"/>
      <c r="W1724" s="315"/>
      <c r="X1724" s="315"/>
      <c r="Y1724" s="315"/>
      <c r="Z1724" s="315"/>
      <c r="AA1724" s="315"/>
    </row>
    <row r="1725" spans="1:27" s="303" customFormat="1" ht="16">
      <c r="A1725" s="315"/>
      <c r="B1725" s="315"/>
      <c r="C1725" s="315"/>
      <c r="D1725" s="315"/>
      <c r="E1725" s="315"/>
      <c r="F1725" s="315"/>
      <c r="G1725" s="315"/>
      <c r="H1725" s="315"/>
      <c r="I1725" s="315"/>
      <c r="J1725" s="315"/>
      <c r="K1725" s="315"/>
      <c r="L1725" s="315"/>
      <c r="M1725" s="315"/>
      <c r="N1725" s="315"/>
      <c r="O1725" s="315"/>
      <c r="P1725" s="315"/>
      <c r="Q1725" s="315"/>
      <c r="R1725" s="315"/>
      <c r="S1725" s="315"/>
      <c r="T1725" s="315"/>
      <c r="U1725" s="315"/>
      <c r="V1725" s="315"/>
      <c r="W1725" s="315"/>
      <c r="X1725" s="315"/>
      <c r="Y1725" s="315"/>
      <c r="Z1725" s="315"/>
      <c r="AA1725" s="315"/>
    </row>
    <row r="1726" spans="1:27" s="303" customFormat="1" ht="16">
      <c r="A1726" s="315"/>
      <c r="B1726" s="315"/>
      <c r="C1726" s="315"/>
      <c r="D1726" s="315"/>
      <c r="E1726" s="315"/>
      <c r="F1726" s="315"/>
      <c r="G1726" s="315"/>
      <c r="H1726" s="315"/>
      <c r="I1726" s="315"/>
      <c r="J1726" s="315"/>
      <c r="K1726" s="315"/>
      <c r="L1726" s="315"/>
      <c r="M1726" s="315"/>
      <c r="N1726" s="315"/>
      <c r="O1726" s="315"/>
      <c r="P1726" s="315"/>
      <c r="Q1726" s="315"/>
      <c r="R1726" s="315"/>
      <c r="S1726" s="315"/>
      <c r="T1726" s="315"/>
      <c r="U1726" s="315"/>
      <c r="V1726" s="315"/>
      <c r="W1726" s="315"/>
      <c r="X1726" s="315"/>
      <c r="Y1726" s="315"/>
      <c r="Z1726" s="315"/>
      <c r="AA1726" s="315"/>
    </row>
    <row r="1727" spans="1:27" s="303" customFormat="1" ht="16">
      <c r="A1727" s="315"/>
      <c r="B1727" s="315"/>
      <c r="C1727" s="315"/>
      <c r="D1727" s="315"/>
      <c r="E1727" s="315"/>
      <c r="F1727" s="315"/>
      <c r="G1727" s="315"/>
      <c r="H1727" s="315"/>
      <c r="I1727" s="315"/>
      <c r="J1727" s="315"/>
      <c r="K1727" s="315"/>
      <c r="L1727" s="315"/>
      <c r="M1727" s="315"/>
      <c r="N1727" s="315"/>
      <c r="O1727" s="315"/>
      <c r="P1727" s="315"/>
      <c r="Q1727" s="315"/>
      <c r="R1727" s="315"/>
      <c r="S1727" s="315"/>
      <c r="T1727" s="315"/>
      <c r="U1727" s="315"/>
      <c r="V1727" s="315"/>
      <c r="W1727" s="315"/>
      <c r="X1727" s="315"/>
      <c r="Y1727" s="315"/>
      <c r="Z1727" s="315"/>
      <c r="AA1727" s="315"/>
    </row>
    <row r="1728" spans="1:27" s="303" customFormat="1" ht="16">
      <c r="A1728" s="315"/>
      <c r="B1728" s="315"/>
      <c r="C1728" s="315"/>
      <c r="D1728" s="315"/>
      <c r="E1728" s="315"/>
      <c r="F1728" s="315"/>
      <c r="G1728" s="315"/>
      <c r="H1728" s="315"/>
      <c r="I1728" s="315"/>
      <c r="J1728" s="315"/>
      <c r="K1728" s="315"/>
      <c r="L1728" s="315"/>
      <c r="M1728" s="315"/>
      <c r="N1728" s="315"/>
      <c r="O1728" s="315"/>
      <c r="P1728" s="315"/>
      <c r="Q1728" s="315"/>
      <c r="R1728" s="315"/>
      <c r="S1728" s="315"/>
      <c r="T1728" s="315"/>
      <c r="U1728" s="315"/>
      <c r="V1728" s="315"/>
      <c r="W1728" s="315"/>
      <c r="X1728" s="315"/>
      <c r="Y1728" s="315"/>
      <c r="Z1728" s="315"/>
      <c r="AA1728" s="315"/>
    </row>
    <row r="1729" spans="1:27" s="303" customFormat="1" ht="16">
      <c r="A1729" s="315"/>
      <c r="B1729" s="315"/>
      <c r="C1729" s="315"/>
      <c r="D1729" s="315"/>
      <c r="E1729" s="315"/>
      <c r="F1729" s="315"/>
      <c r="G1729" s="315"/>
      <c r="H1729" s="315"/>
      <c r="I1729" s="315"/>
      <c r="J1729" s="315"/>
      <c r="K1729" s="315"/>
      <c r="L1729" s="315"/>
      <c r="M1729" s="315"/>
      <c r="N1729" s="315"/>
      <c r="O1729" s="315"/>
      <c r="P1729" s="315"/>
      <c r="Q1729" s="315"/>
      <c r="R1729" s="315"/>
      <c r="S1729" s="315"/>
      <c r="T1729" s="315"/>
      <c r="U1729" s="315"/>
      <c r="V1729" s="315"/>
      <c r="W1729" s="315"/>
      <c r="X1729" s="315"/>
      <c r="Y1729" s="315"/>
      <c r="Z1729" s="315"/>
      <c r="AA1729" s="315"/>
    </row>
    <row r="1730" spans="1:27" s="303" customFormat="1" ht="16">
      <c r="A1730" s="315"/>
      <c r="B1730" s="315"/>
      <c r="C1730" s="315"/>
      <c r="D1730" s="315"/>
      <c r="E1730" s="315"/>
      <c r="F1730" s="315"/>
      <c r="G1730" s="315"/>
      <c r="H1730" s="315"/>
      <c r="I1730" s="315"/>
      <c r="J1730" s="315"/>
      <c r="K1730" s="315"/>
      <c r="L1730" s="315"/>
      <c r="M1730" s="315"/>
      <c r="N1730" s="315"/>
      <c r="O1730" s="315"/>
      <c r="P1730" s="315"/>
      <c r="Q1730" s="315"/>
      <c r="R1730" s="315"/>
      <c r="S1730" s="315"/>
      <c r="T1730" s="315"/>
      <c r="U1730" s="315"/>
      <c r="V1730" s="315"/>
      <c r="W1730" s="315"/>
      <c r="X1730" s="315"/>
      <c r="Y1730" s="315"/>
      <c r="Z1730" s="315"/>
      <c r="AA1730" s="315"/>
    </row>
    <row r="1731" spans="1:27" s="303" customFormat="1" ht="16">
      <c r="A1731" s="315"/>
      <c r="B1731" s="315"/>
      <c r="C1731" s="315"/>
      <c r="D1731" s="315"/>
      <c r="E1731" s="315"/>
      <c r="F1731" s="315"/>
      <c r="G1731" s="315"/>
      <c r="H1731" s="315"/>
      <c r="I1731" s="315"/>
      <c r="J1731" s="315"/>
      <c r="K1731" s="315"/>
      <c r="L1731" s="315"/>
      <c r="M1731" s="315"/>
      <c r="N1731" s="315"/>
      <c r="O1731" s="315"/>
      <c r="P1731" s="315"/>
      <c r="Q1731" s="315"/>
      <c r="R1731" s="315"/>
      <c r="S1731" s="315"/>
      <c r="T1731" s="315"/>
      <c r="U1731" s="315"/>
      <c r="V1731" s="315"/>
      <c r="W1731" s="315"/>
      <c r="X1731" s="315"/>
      <c r="Y1731" s="315"/>
      <c r="Z1731" s="315"/>
      <c r="AA1731" s="315"/>
    </row>
    <row r="1732" spans="1:27" s="303" customFormat="1" ht="16">
      <c r="A1732" s="315"/>
      <c r="B1732" s="315"/>
      <c r="C1732" s="315"/>
      <c r="D1732" s="315"/>
      <c r="E1732" s="315"/>
      <c r="F1732" s="315"/>
      <c r="G1732" s="315"/>
      <c r="H1732" s="315"/>
      <c r="I1732" s="315"/>
      <c r="J1732" s="315"/>
      <c r="K1732" s="315"/>
      <c r="L1732" s="315"/>
      <c r="M1732" s="315"/>
      <c r="N1732" s="315"/>
      <c r="O1732" s="315"/>
      <c r="P1732" s="315"/>
      <c r="Q1732" s="315"/>
      <c r="R1732" s="315"/>
      <c r="S1732" s="315"/>
      <c r="T1732" s="315"/>
      <c r="U1732" s="315"/>
      <c r="V1732" s="315"/>
      <c r="W1732" s="315"/>
      <c r="X1732" s="315"/>
      <c r="Y1732" s="315"/>
      <c r="Z1732" s="315"/>
      <c r="AA1732" s="315"/>
    </row>
    <row r="1733" spans="1:27" s="303" customFormat="1" ht="16">
      <c r="A1733" s="315"/>
      <c r="B1733" s="315"/>
      <c r="C1733" s="315"/>
      <c r="D1733" s="315"/>
      <c r="E1733" s="315"/>
      <c r="F1733" s="315"/>
      <c r="G1733" s="315"/>
      <c r="H1733" s="315"/>
      <c r="I1733" s="315"/>
      <c r="J1733" s="315"/>
      <c r="K1733" s="315"/>
      <c r="L1733" s="315"/>
      <c r="M1733" s="315"/>
      <c r="N1733" s="315"/>
      <c r="O1733" s="315"/>
      <c r="P1733" s="315"/>
      <c r="Q1733" s="315"/>
      <c r="R1733" s="315"/>
      <c r="S1733" s="315"/>
      <c r="T1733" s="315"/>
      <c r="U1733" s="315"/>
      <c r="V1733" s="315"/>
      <c r="W1733" s="315"/>
      <c r="X1733" s="315"/>
      <c r="Y1733" s="315"/>
      <c r="Z1733" s="315"/>
      <c r="AA1733" s="315"/>
    </row>
    <row r="1734" spans="1:27" s="303" customFormat="1" ht="16">
      <c r="A1734" s="315"/>
      <c r="B1734" s="315"/>
      <c r="C1734" s="315"/>
      <c r="D1734" s="315"/>
      <c r="E1734" s="315"/>
      <c r="F1734" s="315"/>
      <c r="G1734" s="315"/>
      <c r="H1734" s="315"/>
      <c r="I1734" s="315"/>
      <c r="J1734" s="315"/>
      <c r="K1734" s="315"/>
      <c r="L1734" s="315"/>
      <c r="M1734" s="315"/>
      <c r="N1734" s="315"/>
      <c r="O1734" s="315"/>
      <c r="P1734" s="315"/>
      <c r="Q1734" s="315"/>
      <c r="R1734" s="315"/>
      <c r="S1734" s="315"/>
      <c r="T1734" s="315"/>
      <c r="U1734" s="315"/>
      <c r="V1734" s="315"/>
      <c r="W1734" s="315"/>
      <c r="X1734" s="315"/>
      <c r="Y1734" s="315"/>
      <c r="Z1734" s="315"/>
      <c r="AA1734" s="315"/>
    </row>
    <row r="1735" spans="1:27" s="303" customFormat="1" ht="16">
      <c r="A1735" s="315"/>
      <c r="B1735" s="315"/>
      <c r="C1735" s="315"/>
      <c r="D1735" s="315"/>
      <c r="E1735" s="315"/>
      <c r="F1735" s="315"/>
      <c r="G1735" s="315"/>
      <c r="H1735" s="315"/>
      <c r="I1735" s="315"/>
      <c r="J1735" s="315"/>
      <c r="K1735" s="315"/>
      <c r="L1735" s="315"/>
      <c r="M1735" s="315"/>
      <c r="N1735" s="315"/>
      <c r="O1735" s="315"/>
      <c r="P1735" s="315"/>
      <c r="Q1735" s="315"/>
      <c r="R1735" s="315"/>
      <c r="S1735" s="315"/>
      <c r="T1735" s="315"/>
      <c r="U1735" s="315"/>
      <c r="V1735" s="315"/>
      <c r="W1735" s="315"/>
      <c r="X1735" s="315"/>
      <c r="Y1735" s="315"/>
      <c r="Z1735" s="315"/>
      <c r="AA1735" s="315"/>
    </row>
    <row r="1736" spans="1:27" s="303" customFormat="1" ht="16">
      <c r="A1736" s="315"/>
      <c r="B1736" s="315"/>
      <c r="C1736" s="315"/>
      <c r="D1736" s="315"/>
      <c r="E1736" s="315"/>
      <c r="F1736" s="315"/>
      <c r="G1736" s="315"/>
      <c r="H1736" s="315"/>
      <c r="I1736" s="315"/>
      <c r="J1736" s="315"/>
      <c r="K1736" s="315"/>
      <c r="L1736" s="315"/>
      <c r="M1736" s="315"/>
      <c r="N1736" s="315"/>
      <c r="O1736" s="315"/>
      <c r="P1736" s="315"/>
      <c r="Q1736" s="315"/>
      <c r="R1736" s="315"/>
      <c r="S1736" s="315"/>
      <c r="T1736" s="315"/>
      <c r="U1736" s="315"/>
      <c r="V1736" s="315"/>
      <c r="W1736" s="315"/>
      <c r="X1736" s="315"/>
      <c r="Y1736" s="315"/>
      <c r="Z1736" s="315"/>
      <c r="AA1736" s="315"/>
    </row>
    <row r="1737" spans="1:27" s="303" customFormat="1" ht="16">
      <c r="A1737" s="315"/>
      <c r="B1737" s="315"/>
      <c r="C1737" s="315"/>
      <c r="D1737" s="315"/>
      <c r="E1737" s="315"/>
      <c r="F1737" s="315"/>
      <c r="G1737" s="315"/>
      <c r="H1737" s="315"/>
      <c r="I1737" s="315"/>
      <c r="J1737" s="315"/>
      <c r="K1737" s="315"/>
      <c r="L1737" s="315"/>
      <c r="M1737" s="315"/>
      <c r="N1737" s="315"/>
      <c r="O1737" s="315"/>
      <c r="P1737" s="315"/>
      <c r="Q1737" s="315"/>
      <c r="R1737" s="315"/>
      <c r="S1737" s="315"/>
      <c r="T1737" s="315"/>
      <c r="U1737" s="315"/>
      <c r="V1737" s="315"/>
      <c r="W1737" s="315"/>
      <c r="X1737" s="315"/>
      <c r="Y1737" s="315"/>
      <c r="Z1737" s="315"/>
      <c r="AA1737" s="315"/>
    </row>
    <row r="1738" spans="1:27" s="303" customFormat="1" ht="16">
      <c r="A1738" s="315"/>
      <c r="B1738" s="315"/>
      <c r="C1738" s="315"/>
      <c r="D1738" s="315"/>
      <c r="E1738" s="315"/>
      <c r="F1738" s="315"/>
      <c r="G1738" s="315"/>
      <c r="H1738" s="315"/>
      <c r="I1738" s="315"/>
      <c r="J1738" s="315"/>
      <c r="K1738" s="315"/>
      <c r="L1738" s="315"/>
      <c r="M1738" s="315"/>
      <c r="N1738" s="315"/>
      <c r="O1738" s="315"/>
      <c r="P1738" s="315"/>
      <c r="Q1738" s="315"/>
      <c r="R1738" s="315"/>
      <c r="S1738" s="315"/>
      <c r="T1738" s="315"/>
      <c r="U1738" s="315"/>
      <c r="V1738" s="315"/>
      <c r="W1738" s="315"/>
      <c r="X1738" s="315"/>
      <c r="Y1738" s="315"/>
      <c r="Z1738" s="315"/>
      <c r="AA1738" s="315"/>
    </row>
    <row r="1739" spans="1:27" s="303" customFormat="1" ht="16">
      <c r="A1739" s="315"/>
      <c r="B1739" s="315"/>
      <c r="C1739" s="315"/>
      <c r="D1739" s="315"/>
      <c r="E1739" s="315"/>
      <c r="F1739" s="315"/>
      <c r="G1739" s="315"/>
      <c r="H1739" s="315"/>
      <c r="I1739" s="315"/>
      <c r="J1739" s="315"/>
      <c r="K1739" s="315"/>
      <c r="L1739" s="315"/>
      <c r="M1739" s="315"/>
      <c r="N1739" s="315"/>
      <c r="O1739" s="315"/>
      <c r="P1739" s="315"/>
      <c r="Q1739" s="315"/>
      <c r="R1739" s="315"/>
      <c r="S1739" s="315"/>
      <c r="T1739" s="315"/>
      <c r="U1739" s="315"/>
      <c r="V1739" s="315"/>
      <c r="W1739" s="315"/>
      <c r="X1739" s="315"/>
      <c r="Y1739" s="315"/>
      <c r="Z1739" s="315"/>
      <c r="AA1739" s="315"/>
    </row>
    <row r="1740" spans="1:27" s="303" customFormat="1" ht="16">
      <c r="A1740" s="315"/>
      <c r="B1740" s="315"/>
      <c r="C1740" s="315"/>
      <c r="D1740" s="315"/>
      <c r="E1740" s="315"/>
      <c r="F1740" s="315"/>
      <c r="G1740" s="315"/>
      <c r="H1740" s="315"/>
      <c r="I1740" s="315"/>
      <c r="J1740" s="315"/>
      <c r="K1740" s="315"/>
      <c r="L1740" s="315"/>
      <c r="M1740" s="315"/>
      <c r="N1740" s="315"/>
      <c r="O1740" s="315"/>
      <c r="P1740" s="315"/>
      <c r="Q1740" s="315"/>
      <c r="R1740" s="315"/>
      <c r="S1740" s="315"/>
      <c r="T1740" s="315"/>
      <c r="U1740" s="315"/>
      <c r="V1740" s="315"/>
      <c r="W1740" s="315"/>
      <c r="X1740" s="315"/>
      <c r="Y1740" s="315"/>
      <c r="Z1740" s="315"/>
      <c r="AA1740" s="315"/>
    </row>
    <row r="1741" spans="1:27" s="303" customFormat="1" ht="16">
      <c r="A1741" s="315"/>
      <c r="B1741" s="315"/>
      <c r="C1741" s="315"/>
      <c r="D1741" s="315"/>
      <c r="E1741" s="315"/>
      <c r="F1741" s="315"/>
      <c r="G1741" s="315"/>
      <c r="H1741" s="315"/>
      <c r="I1741" s="315"/>
      <c r="J1741" s="315"/>
      <c r="K1741" s="315"/>
      <c r="L1741" s="315"/>
      <c r="M1741" s="315"/>
      <c r="N1741" s="315"/>
      <c r="O1741" s="315"/>
      <c r="P1741" s="315"/>
      <c r="Q1741" s="315"/>
      <c r="R1741" s="315"/>
      <c r="S1741" s="315"/>
      <c r="T1741" s="315"/>
      <c r="U1741" s="315"/>
      <c r="V1741" s="315"/>
      <c r="W1741" s="315"/>
      <c r="X1741" s="315"/>
      <c r="Y1741" s="315"/>
      <c r="Z1741" s="315"/>
      <c r="AA1741" s="315"/>
    </row>
    <row r="1742" spans="1:27" s="303" customFormat="1" ht="16">
      <c r="A1742" s="315"/>
      <c r="B1742" s="315"/>
      <c r="C1742" s="315"/>
      <c r="D1742" s="315"/>
      <c r="E1742" s="315"/>
      <c r="F1742" s="315"/>
      <c r="G1742" s="315"/>
      <c r="H1742" s="315"/>
      <c r="I1742" s="315"/>
      <c r="J1742" s="315"/>
      <c r="K1742" s="315"/>
      <c r="L1742" s="315"/>
      <c r="M1742" s="315"/>
      <c r="N1742" s="315"/>
      <c r="O1742" s="315"/>
      <c r="P1742" s="315"/>
      <c r="Q1742" s="315"/>
      <c r="R1742" s="315"/>
      <c r="S1742" s="315"/>
      <c r="T1742" s="315"/>
      <c r="U1742" s="315"/>
      <c r="V1742" s="315"/>
      <c r="W1742" s="315"/>
      <c r="X1742" s="315"/>
      <c r="Y1742" s="315"/>
      <c r="Z1742" s="315"/>
      <c r="AA1742" s="315"/>
    </row>
    <row r="1743" spans="1:27" s="303" customFormat="1" ht="16">
      <c r="A1743" s="315"/>
      <c r="B1743" s="315"/>
      <c r="C1743" s="315"/>
      <c r="D1743" s="315"/>
      <c r="E1743" s="315"/>
      <c r="F1743" s="315"/>
      <c r="G1743" s="315"/>
      <c r="H1743" s="315"/>
      <c r="I1743" s="315"/>
      <c r="J1743" s="315"/>
      <c r="K1743" s="315"/>
      <c r="L1743" s="315"/>
      <c r="M1743" s="315"/>
      <c r="N1743" s="315"/>
      <c r="O1743" s="315"/>
      <c r="P1743" s="315"/>
      <c r="Q1743" s="315"/>
      <c r="R1743" s="315"/>
      <c r="S1743" s="315"/>
      <c r="T1743" s="315"/>
      <c r="U1743" s="315"/>
      <c r="V1743" s="315"/>
      <c r="W1743" s="315"/>
      <c r="X1743" s="315"/>
      <c r="Y1743" s="315"/>
      <c r="Z1743" s="315"/>
      <c r="AA1743" s="315"/>
    </row>
    <row r="1744" spans="1:27" s="303" customFormat="1" ht="16">
      <c r="A1744" s="315"/>
      <c r="B1744" s="315"/>
      <c r="C1744" s="315"/>
      <c r="D1744" s="315"/>
      <c r="E1744" s="315"/>
      <c r="F1744" s="315"/>
      <c r="G1744" s="315"/>
      <c r="H1744" s="315"/>
      <c r="I1744" s="315"/>
      <c r="J1744" s="315"/>
      <c r="K1744" s="315"/>
      <c r="L1744" s="315"/>
      <c r="M1744" s="315"/>
      <c r="N1744" s="315"/>
      <c r="O1744" s="315"/>
      <c r="P1744" s="315"/>
      <c r="Q1744" s="315"/>
      <c r="R1744" s="315"/>
      <c r="S1744" s="315"/>
      <c r="T1744" s="315"/>
      <c r="U1744" s="315"/>
      <c r="V1744" s="315"/>
      <c r="W1744" s="315"/>
      <c r="X1744" s="315"/>
      <c r="Y1744" s="315"/>
      <c r="Z1744" s="315"/>
      <c r="AA1744" s="315"/>
    </row>
    <row r="1745" spans="1:27" s="303" customFormat="1" ht="16">
      <c r="A1745" s="315"/>
      <c r="B1745" s="315"/>
      <c r="C1745" s="315"/>
      <c r="D1745" s="315"/>
      <c r="E1745" s="315"/>
      <c r="F1745" s="315"/>
      <c r="G1745" s="315"/>
      <c r="H1745" s="315"/>
      <c r="I1745" s="315"/>
      <c r="J1745" s="315"/>
      <c r="K1745" s="315"/>
      <c r="L1745" s="315"/>
      <c r="M1745" s="315"/>
      <c r="N1745" s="315"/>
      <c r="O1745" s="315"/>
      <c r="P1745" s="315"/>
      <c r="Q1745" s="315"/>
      <c r="R1745" s="315"/>
      <c r="S1745" s="315"/>
      <c r="T1745" s="315"/>
      <c r="U1745" s="315"/>
      <c r="V1745" s="315"/>
      <c r="W1745" s="315"/>
      <c r="X1745" s="315"/>
      <c r="Y1745" s="315"/>
      <c r="Z1745" s="315"/>
      <c r="AA1745" s="315"/>
    </row>
    <row r="1746" spans="1:27" s="303" customFormat="1" ht="16">
      <c r="A1746" s="315"/>
      <c r="B1746" s="315"/>
      <c r="C1746" s="315"/>
      <c r="D1746" s="315"/>
      <c r="E1746" s="315"/>
      <c r="F1746" s="315"/>
      <c r="G1746" s="315"/>
      <c r="H1746" s="315"/>
      <c r="I1746" s="315"/>
      <c r="J1746" s="315"/>
      <c r="K1746" s="315"/>
      <c r="L1746" s="315"/>
      <c r="M1746" s="315"/>
      <c r="N1746" s="315"/>
      <c r="O1746" s="315"/>
      <c r="P1746" s="315"/>
      <c r="Q1746" s="315"/>
      <c r="R1746" s="315"/>
      <c r="S1746" s="315"/>
      <c r="T1746" s="315"/>
      <c r="U1746" s="315"/>
      <c r="V1746" s="315"/>
      <c r="W1746" s="315"/>
      <c r="X1746" s="315"/>
      <c r="Y1746" s="315"/>
      <c r="Z1746" s="315"/>
      <c r="AA1746" s="315"/>
    </row>
  </sheetData>
  <mergeCells count="36">
    <mergeCell ref="A80:H80"/>
    <mergeCell ref="C108:D108"/>
    <mergeCell ref="A293:A294"/>
    <mergeCell ref="A295:A297"/>
    <mergeCell ref="A309:A310"/>
    <mergeCell ref="D117:E117"/>
    <mergeCell ref="B120:G120"/>
    <mergeCell ref="C106:E106"/>
    <mergeCell ref="C107:E107"/>
    <mergeCell ref="A228:A229"/>
    <mergeCell ref="A230:A231"/>
    <mergeCell ref="A235:A236"/>
    <mergeCell ref="A237:A238"/>
    <mergeCell ref="I845:M845"/>
    <mergeCell ref="C845:F845"/>
    <mergeCell ref="B223:C223"/>
    <mergeCell ref="J246:J248"/>
    <mergeCell ref="A311:A313"/>
    <mergeCell ref="A345:A348"/>
    <mergeCell ref="F872:J872"/>
    <mergeCell ref="A917:I917"/>
    <mergeCell ref="A980:B980"/>
    <mergeCell ref="A981:B981"/>
    <mergeCell ref="A983:B983"/>
    <mergeCell ref="A984:B984"/>
    <mergeCell ref="A985:B985"/>
    <mergeCell ref="C1066:D1066"/>
    <mergeCell ref="C1067:D1067"/>
    <mergeCell ref="C1069:D1069"/>
    <mergeCell ref="A1464:M1464"/>
    <mergeCell ref="D1596:E1596"/>
    <mergeCell ref="C1070:D1070"/>
    <mergeCell ref="C1071:D1071"/>
    <mergeCell ref="A1206:M1206"/>
    <mergeCell ref="E1252:F1252"/>
    <mergeCell ref="E1292:F1292"/>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747"/>
  <sheetViews>
    <sheetView rightToLeft="1" topLeftCell="A827" zoomScale="140" zoomScaleNormal="140" workbookViewId="0">
      <selection activeCell="B385" sqref="B385"/>
    </sheetView>
  </sheetViews>
  <sheetFormatPr baseColWidth="10" defaultRowHeight="13"/>
  <cols>
    <col min="1" max="1" width="10.83203125" style="3"/>
    <col min="2" max="2" width="12.33203125" style="3" customWidth="1"/>
    <col min="3" max="16384" width="10.83203125" style="3"/>
  </cols>
  <sheetData>
    <row r="1" spans="1:8" ht="16">
      <c r="A1" s="707" t="s">
        <v>2011</v>
      </c>
      <c r="B1" s="707"/>
      <c r="C1" s="707"/>
      <c r="D1" s="707"/>
      <c r="E1" s="707"/>
      <c r="F1" s="707"/>
      <c r="G1" s="707"/>
      <c r="H1" s="707"/>
    </row>
    <row r="3" spans="1:8">
      <c r="A3" s="3" t="s">
        <v>2012</v>
      </c>
    </row>
    <row r="4" spans="1:8">
      <c r="A4" s="3" t="s">
        <v>964</v>
      </c>
    </row>
    <row r="6" spans="1:8">
      <c r="A6" s="444" t="s">
        <v>965</v>
      </c>
      <c r="B6" s="445"/>
      <c r="C6" s="445"/>
      <c r="D6" s="445"/>
      <c r="E6" s="445"/>
      <c r="F6" s="445"/>
      <c r="G6" s="445"/>
      <c r="H6" s="445"/>
    </row>
    <row r="7" spans="1:8">
      <c r="A7" s="3" t="s">
        <v>966</v>
      </c>
    </row>
    <row r="8" spans="1:8">
      <c r="A8" s="3" t="s">
        <v>967</v>
      </c>
    </row>
    <row r="9" spans="1:8">
      <c r="A9" s="3" t="s">
        <v>968</v>
      </c>
    </row>
    <row r="10" spans="1:8">
      <c r="A10" s="3" t="s">
        <v>969</v>
      </c>
    </row>
    <row r="11" spans="1:8">
      <c r="A11" s="3" t="s">
        <v>970</v>
      </c>
    </row>
    <row r="12" spans="1:8">
      <c r="A12" s="3" t="s">
        <v>971</v>
      </c>
    </row>
    <row r="14" spans="1:8">
      <c r="C14" s="3" t="s">
        <v>790</v>
      </c>
      <c r="D14" s="449">
        <v>100000</v>
      </c>
      <c r="E14" s="3" t="s">
        <v>2013</v>
      </c>
    </row>
    <row r="15" spans="1:8">
      <c r="C15" s="3" t="s">
        <v>972</v>
      </c>
      <c r="D15" s="449">
        <v>-20000</v>
      </c>
      <c r="E15" s="3" t="s">
        <v>973</v>
      </c>
    </row>
    <row r="16" spans="1:8">
      <c r="C16" s="3" t="s">
        <v>845</v>
      </c>
      <c r="D16" s="450">
        <f>D14+D15</f>
        <v>80000</v>
      </c>
      <c r="E16" s="3" t="s">
        <v>974</v>
      </c>
    </row>
    <row r="18" spans="1:9">
      <c r="A18" s="3" t="s">
        <v>975</v>
      </c>
    </row>
    <row r="19" spans="1:9">
      <c r="A19" s="3" t="s">
        <v>976</v>
      </c>
    </row>
    <row r="20" spans="1:9">
      <c r="A20" s="3" t="s">
        <v>977</v>
      </c>
    </row>
    <row r="21" spans="1:9">
      <c r="A21" s="3" t="s">
        <v>978</v>
      </c>
    </row>
    <row r="23" spans="1:9">
      <c r="A23" s="3" t="s">
        <v>979</v>
      </c>
    </row>
    <row r="25" spans="1:9">
      <c r="A25" s="444" t="s">
        <v>980</v>
      </c>
      <c r="B25" s="445"/>
      <c r="C25" s="445"/>
      <c r="D25" s="445"/>
      <c r="E25" s="445"/>
      <c r="F25" s="445"/>
      <c r="G25" s="445"/>
      <c r="H25" s="445"/>
    </row>
    <row r="26" spans="1:9">
      <c r="A26" s="3" t="s">
        <v>981</v>
      </c>
      <c r="E26" s="3" t="s">
        <v>2015</v>
      </c>
      <c r="I26" s="3" t="s">
        <v>2017</v>
      </c>
    </row>
    <row r="27" spans="1:9">
      <c r="A27" s="3" t="s">
        <v>2014</v>
      </c>
      <c r="E27" s="3" t="s">
        <v>2016</v>
      </c>
      <c r="I27" s="3" t="s">
        <v>2018</v>
      </c>
    </row>
    <row r="28" spans="1:9">
      <c r="A28" s="3" t="s">
        <v>982</v>
      </c>
      <c r="I28" s="3" t="s">
        <v>2019</v>
      </c>
    </row>
    <row r="29" spans="1:9">
      <c r="A29" s="3" t="s">
        <v>983</v>
      </c>
    </row>
    <row r="31" spans="1:9">
      <c r="A31" s="3" t="s">
        <v>984</v>
      </c>
    </row>
    <row r="32" spans="1:9">
      <c r="A32" s="3" t="s">
        <v>985</v>
      </c>
    </row>
    <row r="33" spans="1:9">
      <c r="A33" s="3" t="s">
        <v>986</v>
      </c>
    </row>
    <row r="34" spans="1:9">
      <c r="A34" s="3" t="s">
        <v>987</v>
      </c>
    </row>
    <row r="35" spans="1:9">
      <c r="A35" s="3" t="s">
        <v>988</v>
      </c>
    </row>
    <row r="37" spans="1:9">
      <c r="A37" s="3" t="s">
        <v>989</v>
      </c>
    </row>
    <row r="38" spans="1:9">
      <c r="A38" s="3" t="s">
        <v>2020</v>
      </c>
    </row>
    <row r="39" spans="1:9" s="489" customFormat="1">
      <c r="A39" s="489" t="s">
        <v>990</v>
      </c>
    </row>
    <row r="40" spans="1:9" s="489" customFormat="1">
      <c r="A40" s="489" t="s">
        <v>2023</v>
      </c>
    </row>
    <row r="41" spans="1:9" s="489" customFormat="1"/>
    <row r="42" spans="1:9" s="489" customFormat="1">
      <c r="A42" s="489" t="s">
        <v>994</v>
      </c>
    </row>
    <row r="43" spans="1:9" s="489" customFormat="1">
      <c r="A43" s="489" t="s">
        <v>995</v>
      </c>
    </row>
    <row r="44" spans="1:9" s="489" customFormat="1">
      <c r="A44" s="489" t="s">
        <v>996</v>
      </c>
    </row>
    <row r="45" spans="1:9" s="489" customFormat="1">
      <c r="A45" s="489" t="s">
        <v>1002</v>
      </c>
    </row>
    <row r="46" spans="1:9" s="489" customFormat="1">
      <c r="A46" s="489" t="s">
        <v>1003</v>
      </c>
    </row>
    <row r="48" spans="1:9">
      <c r="A48" s="465" t="s">
        <v>2022</v>
      </c>
      <c r="B48" s="465"/>
      <c r="C48" s="443" t="s">
        <v>131</v>
      </c>
      <c r="D48" s="443"/>
      <c r="E48" s="443"/>
      <c r="F48" s="443"/>
      <c r="G48" s="443" t="s">
        <v>196</v>
      </c>
      <c r="H48" s="443" t="s">
        <v>78</v>
      </c>
      <c r="I48" s="443"/>
    </row>
    <row r="49" spans="1:9">
      <c r="A49" s="489"/>
      <c r="B49" s="489"/>
      <c r="C49" s="452" t="s">
        <v>66</v>
      </c>
      <c r="D49" s="452" t="s">
        <v>790</v>
      </c>
      <c r="E49" s="452" t="s">
        <v>991</v>
      </c>
      <c r="F49" s="452" t="s">
        <v>992</v>
      </c>
      <c r="G49" s="452"/>
      <c r="H49" s="452" t="s">
        <v>249</v>
      </c>
      <c r="I49" s="452" t="s">
        <v>993</v>
      </c>
    </row>
    <row r="50" spans="1:9">
      <c r="A50" s="489" t="s">
        <v>2021</v>
      </c>
      <c r="B50" s="489"/>
      <c r="C50" s="658"/>
      <c r="D50" s="660">
        <v>500000</v>
      </c>
      <c r="E50" s="660">
        <v>100000</v>
      </c>
      <c r="F50" s="660">
        <f>-8%*(D50+E50)</f>
        <v>-48000</v>
      </c>
      <c r="G50" s="658"/>
      <c r="H50" s="658"/>
      <c r="I50" s="658"/>
    </row>
    <row r="51" spans="1:9">
      <c r="A51" s="489" t="s">
        <v>1004</v>
      </c>
      <c r="B51" s="657"/>
      <c r="C51" s="660">
        <f>H51-450000</f>
        <v>300000</v>
      </c>
      <c r="D51" s="660">
        <v>450000</v>
      </c>
      <c r="E51" s="658"/>
      <c r="F51" s="658"/>
      <c r="G51" s="658"/>
      <c r="H51" s="660">
        <v>750000</v>
      </c>
      <c r="I51" s="658"/>
    </row>
    <row r="52" spans="1:9">
      <c r="A52" s="489" t="s">
        <v>1008</v>
      </c>
      <c r="B52" s="489"/>
      <c r="C52" s="660">
        <v>280000</v>
      </c>
      <c r="D52" s="660">
        <f>-C52</f>
        <v>-280000</v>
      </c>
      <c r="E52" s="658"/>
      <c r="F52" s="658"/>
      <c r="G52" s="658"/>
      <c r="H52" s="658"/>
      <c r="I52" s="658"/>
    </row>
    <row r="53" spans="1:9">
      <c r="A53" s="489" t="s">
        <v>1009</v>
      </c>
      <c r="B53" s="489"/>
      <c r="C53" s="658"/>
      <c r="D53" s="660">
        <v>-100000</v>
      </c>
      <c r="E53" s="660">
        <f>-D53</f>
        <v>100000</v>
      </c>
      <c r="F53" s="658"/>
      <c r="G53" s="658"/>
      <c r="H53" s="658"/>
      <c r="I53" s="658"/>
    </row>
    <row r="54" spans="1:9">
      <c r="A54" s="489" t="s">
        <v>1013</v>
      </c>
      <c r="B54" s="657"/>
      <c r="C54" s="660">
        <v>40000</v>
      </c>
      <c r="D54" s="657"/>
      <c r="E54" s="660">
        <f>-C54</f>
        <v>-40000</v>
      </c>
      <c r="F54" s="657"/>
      <c r="G54" s="657"/>
      <c r="H54" s="657"/>
      <c r="I54" s="657"/>
    </row>
    <row r="55" spans="1:9">
      <c r="A55" s="489" t="s">
        <v>1014</v>
      </c>
      <c r="B55" s="489"/>
      <c r="C55" s="657"/>
      <c r="D55" s="489"/>
      <c r="E55" s="660">
        <v>-30000</v>
      </c>
      <c r="F55" s="660">
        <f>-E55</f>
        <v>30000</v>
      </c>
      <c r="G55" s="657"/>
      <c r="H55" s="657"/>
      <c r="I55" s="657"/>
    </row>
    <row r="56" spans="1:9">
      <c r="A56" s="489" t="s">
        <v>1020</v>
      </c>
      <c r="B56" s="489"/>
      <c r="C56" s="657"/>
      <c r="D56" s="660">
        <v>-12000</v>
      </c>
      <c r="E56" s="657"/>
      <c r="F56" s="660">
        <f>-D56</f>
        <v>12000</v>
      </c>
      <c r="G56" s="657"/>
      <c r="H56" s="657"/>
      <c r="I56" s="657"/>
    </row>
    <row r="57" spans="1:9">
      <c r="A57" s="662" t="s">
        <v>1030</v>
      </c>
      <c r="B57" s="657"/>
      <c r="C57" s="657"/>
      <c r="D57" s="657"/>
      <c r="E57" s="657"/>
      <c r="F57" s="665">
        <f>F58-F56-F55-F50</f>
        <v>-49040</v>
      </c>
      <c r="G57" s="657"/>
      <c r="H57" s="657"/>
      <c r="I57" s="660">
        <f>F57</f>
        <v>-49040</v>
      </c>
    </row>
    <row r="58" spans="1:9">
      <c r="A58" s="3" t="s">
        <v>1021</v>
      </c>
      <c r="C58" s="659"/>
      <c r="D58" s="661">
        <f>SUM(D50:D57)</f>
        <v>558000</v>
      </c>
      <c r="E58" s="661">
        <f>SUM(E50:E57)</f>
        <v>130000</v>
      </c>
      <c r="F58" s="664">
        <f>-(D58+E58)*8%</f>
        <v>-55040</v>
      </c>
      <c r="G58" s="663"/>
      <c r="H58" s="661">
        <f>H51</f>
        <v>750000</v>
      </c>
      <c r="I58" s="661">
        <f>I57</f>
        <v>-49040</v>
      </c>
    </row>
    <row r="64" spans="1:9" ht="14" thickBot="1"/>
    <row r="65" spans="1:7" ht="14" thickBot="1">
      <c r="A65" s="666" t="s">
        <v>2025</v>
      </c>
      <c r="B65" s="462"/>
      <c r="C65" s="462"/>
      <c r="D65" s="462"/>
      <c r="E65" s="467" t="s">
        <v>2024</v>
      </c>
      <c r="F65" s="467"/>
      <c r="G65" s="463">
        <v>44926</v>
      </c>
    </row>
    <row r="66" spans="1:7" ht="14" thickBot="1">
      <c r="A66" s="466" t="s">
        <v>1041</v>
      </c>
      <c r="B66" s="465"/>
      <c r="C66" s="464">
        <v>44926</v>
      </c>
      <c r="E66" s="3" t="s">
        <v>705</v>
      </c>
      <c r="G66" s="456">
        <f>D58</f>
        <v>558000</v>
      </c>
    </row>
    <row r="67" spans="1:7">
      <c r="A67" s="455" t="s">
        <v>1001</v>
      </c>
      <c r="C67" s="447">
        <f>-F58</f>
        <v>55040</v>
      </c>
      <c r="E67" s="3" t="s">
        <v>1038</v>
      </c>
      <c r="G67" s="456">
        <f>E58</f>
        <v>130000</v>
      </c>
    </row>
    <row r="68" spans="1:7">
      <c r="A68" s="455" t="s">
        <v>1037</v>
      </c>
      <c r="C68" s="447">
        <f>-I57</f>
        <v>49040</v>
      </c>
      <c r="E68" s="3" t="s">
        <v>1039</v>
      </c>
      <c r="G68" s="457">
        <f>G66+G67</f>
        <v>688000</v>
      </c>
    </row>
    <row r="69" spans="1:7">
      <c r="A69" s="455"/>
      <c r="E69" s="3" t="s">
        <v>1040</v>
      </c>
      <c r="G69" s="456">
        <f>F58</f>
        <v>-55040</v>
      </c>
    </row>
    <row r="70" spans="1:7" ht="14" thickBot="1">
      <c r="A70" s="458"/>
      <c r="B70" s="459"/>
      <c r="C70" s="459"/>
      <c r="D70" s="459"/>
      <c r="E70" s="459" t="s">
        <v>845</v>
      </c>
      <c r="F70" s="459"/>
      <c r="G70" s="460">
        <f>G68+G69</f>
        <v>632960</v>
      </c>
    </row>
    <row r="72" spans="1:7">
      <c r="A72" s="3" t="s">
        <v>997</v>
      </c>
      <c r="G72" s="3" t="s">
        <v>1031</v>
      </c>
    </row>
    <row r="73" spans="1:7">
      <c r="A73" s="3" t="s">
        <v>998</v>
      </c>
      <c r="G73" s="3" t="s">
        <v>1032</v>
      </c>
    </row>
    <row r="74" spans="1:7">
      <c r="B74" s="3" t="s">
        <v>493</v>
      </c>
      <c r="C74" s="446">
        <v>500000</v>
      </c>
      <c r="G74" s="3" t="s">
        <v>1033</v>
      </c>
    </row>
    <row r="75" spans="1:7">
      <c r="B75" s="3" t="s">
        <v>991</v>
      </c>
      <c r="C75" s="446">
        <v>100000</v>
      </c>
      <c r="G75" s="3" t="s">
        <v>1034</v>
      </c>
    </row>
    <row r="76" spans="1:7">
      <c r="B76" s="3" t="s">
        <v>999</v>
      </c>
      <c r="C76" s="446">
        <f>C74+C75</f>
        <v>600000</v>
      </c>
      <c r="G76" s="3" t="s">
        <v>1035</v>
      </c>
    </row>
    <row r="77" spans="1:7">
      <c r="B77" s="3" t="s">
        <v>1000</v>
      </c>
      <c r="C77" s="451">
        <v>0.08</v>
      </c>
      <c r="G77" s="3" t="s">
        <v>1036</v>
      </c>
    </row>
    <row r="78" spans="1:7">
      <c r="B78" s="3" t="s">
        <v>1001</v>
      </c>
      <c r="C78" s="446">
        <f>C76*C77</f>
        <v>48000</v>
      </c>
    </row>
    <row r="80" spans="1:7">
      <c r="A80" s="3" t="s">
        <v>1005</v>
      </c>
    </row>
    <row r="81" spans="1:1">
      <c r="A81" s="3" t="s">
        <v>1006</v>
      </c>
    </row>
    <row r="82" spans="1:1">
      <c r="A82" s="3" t="s">
        <v>1007</v>
      </c>
    </row>
    <row r="84" spans="1:1">
      <c r="A84" s="3" t="s">
        <v>1010</v>
      </c>
    </row>
    <row r="85" spans="1:1">
      <c r="A85" s="3" t="s">
        <v>1011</v>
      </c>
    </row>
    <row r="86" spans="1:1">
      <c r="A86" s="3" t="s">
        <v>1012</v>
      </c>
    </row>
    <row r="88" spans="1:1">
      <c r="A88" s="3" t="s">
        <v>1014</v>
      </c>
    </row>
    <row r="89" spans="1:1">
      <c r="A89" s="3" t="s">
        <v>1015</v>
      </c>
    </row>
    <row r="90" spans="1:1">
      <c r="A90" s="3" t="s">
        <v>1016</v>
      </c>
    </row>
    <row r="91" spans="1:1">
      <c r="A91" s="3" t="s">
        <v>1017</v>
      </c>
    </row>
    <row r="92" spans="1:1">
      <c r="A92" s="3" t="s">
        <v>1018</v>
      </c>
    </row>
    <row r="93" spans="1:1">
      <c r="A93" s="3" t="s">
        <v>1019</v>
      </c>
    </row>
    <row r="95" spans="1:1">
      <c r="A95" s="3" t="s">
        <v>1022</v>
      </c>
    </row>
    <row r="96" spans="1:1">
      <c r="A96" s="3" t="s">
        <v>1023</v>
      </c>
    </row>
    <row r="97" spans="1:8">
      <c r="A97" s="3" t="s">
        <v>1024</v>
      </c>
    </row>
    <row r="99" spans="1:8">
      <c r="A99" s="3" t="s">
        <v>1025</v>
      </c>
      <c r="C99" s="447">
        <f>D58</f>
        <v>558000</v>
      </c>
    </row>
    <row r="100" spans="1:8">
      <c r="A100" s="3" t="s">
        <v>1026</v>
      </c>
      <c r="C100" s="447">
        <f>E58</f>
        <v>130000</v>
      </c>
    </row>
    <row r="101" spans="1:8">
      <c r="A101" s="3" t="s">
        <v>1027</v>
      </c>
      <c r="C101" s="447">
        <f>C99+C100</f>
        <v>688000</v>
      </c>
    </row>
    <row r="103" spans="1:8">
      <c r="A103" s="3" t="s">
        <v>1028</v>
      </c>
      <c r="C103" s="451">
        <v>0.08</v>
      </c>
    </row>
    <row r="105" spans="1:8">
      <c r="A105" s="3" t="s">
        <v>1029</v>
      </c>
      <c r="C105" s="447">
        <f>C101*C103</f>
        <v>55040</v>
      </c>
    </row>
    <row r="107" spans="1:8">
      <c r="A107" s="444" t="s">
        <v>2026</v>
      </c>
      <c r="B107" s="445"/>
      <c r="C107" s="445"/>
      <c r="D107" s="445"/>
      <c r="E107" s="445"/>
      <c r="F107" s="445"/>
      <c r="G107" s="445"/>
      <c r="H107" s="445"/>
    </row>
    <row r="108" spans="1:8">
      <c r="A108" s="3" t="s">
        <v>2027</v>
      </c>
    </row>
    <row r="110" spans="1:8">
      <c r="C110" s="595">
        <v>45657</v>
      </c>
      <c r="D110" s="595">
        <v>46022</v>
      </c>
    </row>
    <row r="111" spans="1:8">
      <c r="B111" s="3" t="s">
        <v>2028</v>
      </c>
      <c r="C111" s="667">
        <v>800000</v>
      </c>
      <c r="D111" s="667">
        <v>650000</v>
      </c>
    </row>
    <row r="112" spans="1:8">
      <c r="B112" s="3" t="s">
        <v>790</v>
      </c>
      <c r="C112" s="667">
        <v>100000</v>
      </c>
      <c r="D112" s="667">
        <v>120000</v>
      </c>
    </row>
    <row r="113" spans="1:6">
      <c r="B113" s="3" t="s">
        <v>2029</v>
      </c>
      <c r="C113" s="667">
        <v>7000</v>
      </c>
      <c r="D113" s="599" t="s">
        <v>726</v>
      </c>
    </row>
    <row r="115" spans="1:6">
      <c r="A115" s="3" t="s">
        <v>2030</v>
      </c>
    </row>
    <row r="116" spans="1:6">
      <c r="A116" s="3" t="s">
        <v>2031</v>
      </c>
    </row>
    <row r="118" spans="1:6">
      <c r="A118" s="3" t="s">
        <v>2032</v>
      </c>
    </row>
    <row r="119" spans="1:6">
      <c r="A119" s="3" t="s">
        <v>2033</v>
      </c>
    </row>
    <row r="121" spans="1:6">
      <c r="A121" s="443" t="s">
        <v>1108</v>
      </c>
    </row>
    <row r="123" spans="1:6">
      <c r="A123" s="3" t="s">
        <v>2034</v>
      </c>
    </row>
    <row r="124" spans="1:6">
      <c r="A124" s="3" t="s">
        <v>2035</v>
      </c>
    </row>
    <row r="125" spans="1:6">
      <c r="A125" s="3" t="s">
        <v>2036</v>
      </c>
    </row>
    <row r="126" spans="1:6">
      <c r="A126" s="3" t="s">
        <v>2037</v>
      </c>
    </row>
    <row r="128" spans="1:6">
      <c r="F128" s="668" t="s">
        <v>644</v>
      </c>
    </row>
    <row r="129" spans="2:8">
      <c r="C129" s="3" t="s">
        <v>2038</v>
      </c>
      <c r="F129" s="667">
        <v>7000</v>
      </c>
      <c r="G129" s="599" t="s">
        <v>2041</v>
      </c>
    </row>
    <row r="130" spans="2:8">
      <c r="C130" s="3" t="s">
        <v>2039</v>
      </c>
      <c r="F130" s="449">
        <v>-9000</v>
      </c>
      <c r="G130" s="599" t="s">
        <v>2041</v>
      </c>
    </row>
    <row r="131" spans="2:8">
      <c r="B131" s="443" t="s">
        <v>2058</v>
      </c>
      <c r="C131" s="3" t="s">
        <v>2042</v>
      </c>
      <c r="F131" s="669">
        <f>F132-F130-F129</f>
        <v>9770</v>
      </c>
      <c r="G131" s="599" t="s">
        <v>1508</v>
      </c>
    </row>
    <row r="132" spans="2:8">
      <c r="B132" s="443" t="s">
        <v>2057</v>
      </c>
      <c r="C132" s="3" t="s">
        <v>2040</v>
      </c>
      <c r="F132" s="667">
        <f>111000*7%</f>
        <v>7770.0000000000009</v>
      </c>
      <c r="G132" s="599"/>
      <c r="H132" s="3" t="s">
        <v>2043</v>
      </c>
    </row>
    <row r="134" spans="2:8">
      <c r="G134" s="3" t="s">
        <v>2044</v>
      </c>
    </row>
    <row r="135" spans="2:8">
      <c r="G135" s="3" t="s">
        <v>2045</v>
      </c>
    </row>
    <row r="136" spans="2:8">
      <c r="G136" s="3" t="s">
        <v>2046</v>
      </c>
    </row>
    <row r="137" spans="2:8">
      <c r="G137" s="3" t="s">
        <v>2047</v>
      </c>
    </row>
    <row r="138" spans="2:8">
      <c r="G138" s="3" t="s">
        <v>2048</v>
      </c>
    </row>
    <row r="139" spans="2:8">
      <c r="G139" s="3" t="s">
        <v>2049</v>
      </c>
    </row>
    <row r="140" spans="2:8">
      <c r="G140" s="3" t="s">
        <v>2050</v>
      </c>
    </row>
    <row r="141" spans="2:8">
      <c r="G141" s="3" t="s">
        <v>2051</v>
      </c>
    </row>
    <row r="142" spans="2:8">
      <c r="G142" s="3" t="s">
        <v>2052</v>
      </c>
    </row>
    <row r="143" spans="2:8">
      <c r="G143" s="3" t="s">
        <v>2053</v>
      </c>
    </row>
    <row r="144" spans="2:8">
      <c r="G144" s="3" t="s">
        <v>2054</v>
      </c>
    </row>
    <row r="145" spans="1:8">
      <c r="G145" s="3" t="s">
        <v>2055</v>
      </c>
    </row>
    <row r="146" spans="1:8">
      <c r="G146" s="3" t="s">
        <v>2056</v>
      </c>
    </row>
    <row r="148" spans="1:8">
      <c r="A148" s="444" t="s">
        <v>2059</v>
      </c>
      <c r="B148" s="445"/>
      <c r="C148" s="445"/>
      <c r="D148" s="445"/>
      <c r="E148" s="445"/>
      <c r="F148" s="445"/>
      <c r="G148" s="445"/>
      <c r="H148" s="445"/>
    </row>
    <row r="150" spans="1:8">
      <c r="A150" s="3" t="s">
        <v>2060</v>
      </c>
    </row>
    <row r="151" spans="1:8">
      <c r="A151" s="3" t="s">
        <v>2061</v>
      </c>
    </row>
    <row r="152" spans="1:8">
      <c r="A152" s="3" t="s">
        <v>2062</v>
      </c>
    </row>
    <row r="154" spans="1:8">
      <c r="A154" s="3" t="s">
        <v>2063</v>
      </c>
    </row>
    <row r="155" spans="1:8">
      <c r="E155" s="670" t="s">
        <v>1044</v>
      </c>
    </row>
    <row r="156" spans="1:8">
      <c r="C156" s="3" t="s">
        <v>2064</v>
      </c>
      <c r="E156" s="446">
        <v>1500000</v>
      </c>
    </row>
    <row r="157" spans="1:8">
      <c r="C157" s="3" t="s">
        <v>2065</v>
      </c>
      <c r="E157" s="446">
        <v>14000</v>
      </c>
    </row>
    <row r="159" spans="1:8">
      <c r="A159" s="3" t="s">
        <v>2075</v>
      </c>
    </row>
    <row r="161" spans="1:8">
      <c r="C161" s="708" t="s">
        <v>493</v>
      </c>
      <c r="D161" s="708"/>
      <c r="E161" s="708"/>
      <c r="F161" s="708"/>
    </row>
    <row r="162" spans="1:8">
      <c r="C162" s="599" t="s">
        <v>455</v>
      </c>
      <c r="D162" s="599" t="s">
        <v>460</v>
      </c>
      <c r="E162" s="599" t="s">
        <v>1334</v>
      </c>
      <c r="F162" s="599" t="s">
        <v>2066</v>
      </c>
      <c r="G162" s="599" t="s">
        <v>436</v>
      </c>
      <c r="H162" s="599" t="s">
        <v>1028</v>
      </c>
    </row>
    <row r="163" spans="1:8">
      <c r="B163" s="670" t="s">
        <v>2069</v>
      </c>
      <c r="C163" s="668" t="s">
        <v>2067</v>
      </c>
      <c r="D163" s="668" t="s">
        <v>2067</v>
      </c>
      <c r="E163" s="668" t="s">
        <v>2067</v>
      </c>
      <c r="F163" s="668" t="s">
        <v>2067</v>
      </c>
      <c r="G163" s="668" t="s">
        <v>2067</v>
      </c>
      <c r="H163" s="668" t="s">
        <v>2068</v>
      </c>
    </row>
    <row r="164" spans="1:8">
      <c r="B164" s="3" t="s">
        <v>2070</v>
      </c>
      <c r="C164" s="667">
        <v>400000</v>
      </c>
      <c r="D164" s="667">
        <v>100000</v>
      </c>
      <c r="E164" s="667">
        <v>50000</v>
      </c>
      <c r="F164" s="667">
        <v>80000</v>
      </c>
      <c r="G164" s="667">
        <f>SUM(C164:F164)</f>
        <v>630000</v>
      </c>
      <c r="H164" s="672">
        <v>1.4999999999999999E-2</v>
      </c>
    </row>
    <row r="165" spans="1:8">
      <c r="B165" s="3" t="s">
        <v>2071</v>
      </c>
      <c r="C165" s="667">
        <v>120000</v>
      </c>
      <c r="D165" s="667">
        <v>30000</v>
      </c>
      <c r="E165" s="667">
        <v>12000</v>
      </c>
      <c r="F165" s="667">
        <v>0</v>
      </c>
      <c r="G165" s="667">
        <f>SUM(C165:F165)</f>
        <v>162000</v>
      </c>
      <c r="H165" s="672">
        <v>0.02</v>
      </c>
    </row>
    <row r="166" spans="1:8">
      <c r="B166" s="3" t="s">
        <v>2072</v>
      </c>
      <c r="C166" s="667">
        <v>40000</v>
      </c>
      <c r="D166" s="667">
        <v>80000</v>
      </c>
      <c r="E166" s="667">
        <v>30000</v>
      </c>
      <c r="F166" s="667">
        <v>28000</v>
      </c>
      <c r="G166" s="667">
        <f>SUM(C166:F166)</f>
        <v>178000</v>
      </c>
      <c r="H166" s="672">
        <v>0.03</v>
      </c>
    </row>
    <row r="167" spans="1:8">
      <c r="B167" s="3" t="s">
        <v>2073</v>
      </c>
      <c r="C167" s="667">
        <v>100000</v>
      </c>
      <c r="D167" s="667">
        <v>80000</v>
      </c>
      <c r="E167" s="667">
        <v>20000</v>
      </c>
      <c r="F167" s="667">
        <v>15000</v>
      </c>
      <c r="G167" s="667">
        <f>SUM(C167:F167)</f>
        <v>215000</v>
      </c>
      <c r="H167" s="672">
        <v>0.04</v>
      </c>
    </row>
    <row r="168" spans="1:8">
      <c r="B168" s="3" t="s">
        <v>2074</v>
      </c>
      <c r="C168" s="667">
        <v>115000</v>
      </c>
      <c r="D168" s="667">
        <v>50000</v>
      </c>
      <c r="E168" s="667">
        <v>50000</v>
      </c>
      <c r="F168" s="667">
        <v>100000</v>
      </c>
      <c r="G168" s="667">
        <f>E156-G164-G165-G166-G167</f>
        <v>315000</v>
      </c>
      <c r="H168" s="672">
        <v>0.1</v>
      </c>
    </row>
    <row r="169" spans="1:8">
      <c r="B169" s="3" t="s">
        <v>436</v>
      </c>
      <c r="C169" s="671">
        <f>SUM(C164:C168)</f>
        <v>775000</v>
      </c>
      <c r="D169" s="671">
        <f t="shared" ref="D169:G169" si="0">SUM(D164:D168)</f>
        <v>340000</v>
      </c>
      <c r="E169" s="671">
        <f t="shared" si="0"/>
        <v>162000</v>
      </c>
      <c r="F169" s="671">
        <f t="shared" si="0"/>
        <v>223000</v>
      </c>
      <c r="G169" s="671">
        <f t="shared" si="0"/>
        <v>1500000</v>
      </c>
    </row>
    <row r="171" spans="1:8">
      <c r="A171" s="3" t="s">
        <v>2076</v>
      </c>
    </row>
    <row r="173" spans="1:8">
      <c r="A173" s="3" t="s">
        <v>989</v>
      </c>
    </row>
    <row r="174" spans="1:8">
      <c r="A174" s="3" t="s">
        <v>2077</v>
      </c>
    </row>
    <row r="175" spans="1:8">
      <c r="A175" s="3" t="s">
        <v>2078</v>
      </c>
    </row>
    <row r="177" spans="1:8">
      <c r="A177" s="3" t="s">
        <v>1108</v>
      </c>
    </row>
    <row r="178" spans="1:8">
      <c r="A178" s="3" t="s">
        <v>2079</v>
      </c>
    </row>
    <row r="179" spans="1:8">
      <c r="A179" s="3" t="s">
        <v>2080</v>
      </c>
    </row>
    <row r="181" spans="1:8">
      <c r="A181" s="3" t="s">
        <v>2081</v>
      </c>
      <c r="D181" s="449">
        <f>SUMPRODUCT(G164:G168,H164:H168)</f>
        <v>58130</v>
      </c>
      <c r="H181" s="3" t="s">
        <v>2082</v>
      </c>
    </row>
    <row r="183" spans="1:8">
      <c r="D183" s="668" t="s">
        <v>644</v>
      </c>
    </row>
    <row r="184" spans="1:8">
      <c r="A184" s="3" t="s">
        <v>2083</v>
      </c>
      <c r="D184" s="667">
        <f>13000</f>
        <v>13000</v>
      </c>
      <c r="E184" s="599" t="s">
        <v>2041</v>
      </c>
    </row>
    <row r="185" spans="1:8">
      <c r="A185" s="3" t="s">
        <v>2084</v>
      </c>
      <c r="D185" s="449">
        <v>-14000</v>
      </c>
      <c r="E185" s="599" t="s">
        <v>2041</v>
      </c>
    </row>
    <row r="186" spans="1:8">
      <c r="A186" s="3" t="s">
        <v>2042</v>
      </c>
      <c r="D186" s="669">
        <f>D187-D185-D184</f>
        <v>59130</v>
      </c>
      <c r="E186" s="599" t="s">
        <v>1508</v>
      </c>
    </row>
    <row r="187" spans="1:8">
      <c r="A187" s="3" t="s">
        <v>2040</v>
      </c>
      <c r="D187" s="667">
        <f>D181</f>
        <v>58130</v>
      </c>
      <c r="E187" s="599" t="s">
        <v>1394</v>
      </c>
    </row>
    <row r="204" spans="1:8">
      <c r="A204" s="444" t="s">
        <v>1075</v>
      </c>
      <c r="B204" s="445"/>
      <c r="C204" s="445"/>
      <c r="D204" s="445"/>
      <c r="E204" s="445"/>
      <c r="F204" s="445"/>
      <c r="G204" s="445"/>
      <c r="H204" s="445"/>
    </row>
    <row r="205" spans="1:8">
      <c r="A205" s="3" t="s">
        <v>1076</v>
      </c>
    </row>
    <row r="206" spans="1:8">
      <c r="A206" s="3" t="s">
        <v>1077</v>
      </c>
    </row>
    <row r="207" spans="1:8" ht="14" thickBot="1">
      <c r="A207" s="3" t="s">
        <v>1078</v>
      </c>
    </row>
    <row r="208" spans="1:8">
      <c r="B208" s="461" t="s">
        <v>559</v>
      </c>
      <c r="C208" s="454"/>
      <c r="E208" s="461" t="s">
        <v>1080</v>
      </c>
      <c r="F208" s="454"/>
    </row>
    <row r="209" spans="1:8">
      <c r="B209" s="455" t="s">
        <v>909</v>
      </c>
      <c r="C209" s="478" t="s">
        <v>88</v>
      </c>
      <c r="E209" s="455" t="s">
        <v>1081</v>
      </c>
      <c r="F209" s="478" t="s">
        <v>88</v>
      </c>
    </row>
    <row r="210" spans="1:8">
      <c r="B210" s="455" t="s">
        <v>1079</v>
      </c>
      <c r="C210" s="478" t="s">
        <v>89</v>
      </c>
      <c r="E210" s="455" t="s">
        <v>628</v>
      </c>
      <c r="F210" s="478" t="s">
        <v>89</v>
      </c>
    </row>
    <row r="211" spans="1:8" ht="14" thickBot="1">
      <c r="B211" s="458" t="s">
        <v>559</v>
      </c>
      <c r="C211" s="479" t="s">
        <v>91</v>
      </c>
      <c r="E211" s="455" t="s">
        <v>568</v>
      </c>
      <c r="F211" s="478" t="s">
        <v>89</v>
      </c>
    </row>
    <row r="212" spans="1:8" ht="14" thickBot="1">
      <c r="E212" s="458" t="s">
        <v>1080</v>
      </c>
      <c r="F212" s="479" t="s">
        <v>91</v>
      </c>
    </row>
    <row r="213" spans="1:8" ht="14" thickBot="1"/>
    <row r="214" spans="1:8" ht="14" thickBot="1">
      <c r="E214" s="461" t="s">
        <v>1082</v>
      </c>
      <c r="F214" s="454"/>
    </row>
    <row r="215" spans="1:8">
      <c r="B215" s="461" t="s">
        <v>902</v>
      </c>
      <c r="C215" s="454"/>
      <c r="E215" s="455" t="s">
        <v>572</v>
      </c>
      <c r="F215" s="478" t="s">
        <v>88</v>
      </c>
    </row>
    <row r="216" spans="1:8">
      <c r="B216" s="455" t="s">
        <v>569</v>
      </c>
      <c r="C216" s="478" t="s">
        <v>88</v>
      </c>
      <c r="E216" s="455" t="s">
        <v>902</v>
      </c>
      <c r="F216" s="478" t="s">
        <v>88</v>
      </c>
    </row>
    <row r="217" spans="1:8" ht="14" thickBot="1">
      <c r="B217" s="455" t="s">
        <v>570</v>
      </c>
      <c r="C217" s="478" t="s">
        <v>89</v>
      </c>
      <c r="E217" s="458" t="s">
        <v>573</v>
      </c>
      <c r="F217" s="479" t="s">
        <v>89</v>
      </c>
    </row>
    <row r="218" spans="1:8" ht="14" thickBot="1">
      <c r="B218" s="458" t="s">
        <v>1083</v>
      </c>
      <c r="C218" s="479" t="s">
        <v>89</v>
      </c>
    </row>
    <row r="220" spans="1:8">
      <c r="A220" s="3" t="s">
        <v>1084</v>
      </c>
    </row>
    <row r="222" spans="1:8" s="2" customFormat="1" ht="16">
      <c r="A222" s="468" t="s">
        <v>1042</v>
      </c>
      <c r="B222" s="468"/>
      <c r="C222" s="468"/>
      <c r="D222" s="468"/>
      <c r="E222" s="468"/>
      <c r="F222" s="468"/>
      <c r="G222" s="468"/>
      <c r="H222" s="468"/>
    </row>
    <row r="223" spans="1:8" s="2" customFormat="1" ht="16"/>
    <row r="224" spans="1:8" s="2" customFormat="1" ht="16">
      <c r="A224" s="2" t="s">
        <v>1043</v>
      </c>
    </row>
    <row r="225" spans="1:11" s="2" customFormat="1" ht="17" thickBot="1"/>
    <row r="226" spans="1:11" s="2" customFormat="1" ht="16">
      <c r="D226" s="34">
        <v>2017</v>
      </c>
      <c r="E226" s="34">
        <v>2018</v>
      </c>
      <c r="G226" s="480" t="s">
        <v>559</v>
      </c>
      <c r="H226" s="483"/>
      <c r="I226" s="453"/>
      <c r="J226" s="480" t="s">
        <v>1080</v>
      </c>
      <c r="K226" s="483"/>
    </row>
    <row r="227" spans="1:11" s="2" customFormat="1" ht="16">
      <c r="D227" s="90" t="s">
        <v>1044</v>
      </c>
      <c r="E227" s="90" t="s">
        <v>1044</v>
      </c>
      <c r="G227" s="481" t="s">
        <v>909</v>
      </c>
      <c r="H227" s="482" t="s">
        <v>88</v>
      </c>
      <c r="I227" s="453"/>
      <c r="J227" s="481" t="s">
        <v>1081</v>
      </c>
      <c r="K227" s="482" t="s">
        <v>88</v>
      </c>
    </row>
    <row r="228" spans="1:11" s="2" customFormat="1" ht="16">
      <c r="A228" s="2" t="s">
        <v>566</v>
      </c>
      <c r="D228" s="469" t="s">
        <v>726</v>
      </c>
      <c r="E228" s="469">
        <v>90000</v>
      </c>
      <c r="G228" s="481" t="s">
        <v>1079</v>
      </c>
      <c r="H228" s="482" t="s">
        <v>89</v>
      </c>
      <c r="I228" s="453"/>
      <c r="J228" s="481" t="s">
        <v>628</v>
      </c>
      <c r="K228" s="482" t="s">
        <v>89</v>
      </c>
    </row>
    <row r="229" spans="1:11" s="2" customFormat="1" ht="17" thickBot="1">
      <c r="A229" s="2" t="s">
        <v>628</v>
      </c>
      <c r="D229" s="469">
        <v>3000</v>
      </c>
      <c r="E229" s="469">
        <v>14000</v>
      </c>
      <c r="G229" s="484" t="s">
        <v>559</v>
      </c>
      <c r="H229" s="485" t="s">
        <v>91</v>
      </c>
      <c r="I229" s="453"/>
      <c r="J229" s="481" t="s">
        <v>568</v>
      </c>
      <c r="K229" s="482" t="s">
        <v>89</v>
      </c>
    </row>
    <row r="230" spans="1:11" s="2" customFormat="1" ht="17" thickBot="1">
      <c r="A230" s="2" t="s">
        <v>1045</v>
      </c>
      <c r="D230" s="469">
        <v>2000</v>
      </c>
      <c r="E230" s="469">
        <v>1000</v>
      </c>
      <c r="G230" s="453"/>
      <c r="H230" s="453"/>
      <c r="I230" s="453"/>
      <c r="J230" s="484" t="s">
        <v>1080</v>
      </c>
      <c r="K230" s="485" t="s">
        <v>91</v>
      </c>
    </row>
    <row r="231" spans="1:11" s="2" customFormat="1" ht="17" thickBot="1">
      <c r="A231" s="2" t="s">
        <v>909</v>
      </c>
      <c r="D231" s="469">
        <v>80000</v>
      </c>
      <c r="E231" s="469" t="s">
        <v>726</v>
      </c>
      <c r="G231" s="453"/>
      <c r="H231" s="453"/>
      <c r="I231" s="453"/>
      <c r="J231" s="453"/>
      <c r="K231" s="453"/>
    </row>
    <row r="232" spans="1:11" s="2" customFormat="1" ht="17" thickBot="1">
      <c r="A232" s="2" t="s">
        <v>1046</v>
      </c>
      <c r="D232" s="469">
        <v>19000</v>
      </c>
      <c r="E232" s="469">
        <v>16000</v>
      </c>
      <c r="G232" s="453"/>
      <c r="H232" s="453"/>
      <c r="I232" s="453"/>
      <c r="J232" s="480" t="s">
        <v>1082</v>
      </c>
      <c r="K232" s="483"/>
    </row>
    <row r="233" spans="1:11" s="2" customFormat="1" ht="16">
      <c r="A233" s="2" t="s">
        <v>570</v>
      </c>
      <c r="D233" s="469" t="s">
        <v>726</v>
      </c>
      <c r="E233" s="469">
        <v>3000</v>
      </c>
      <c r="G233" s="480" t="s">
        <v>902</v>
      </c>
      <c r="H233" s="483"/>
      <c r="I233" s="453"/>
      <c r="J233" s="481" t="s">
        <v>572</v>
      </c>
      <c r="K233" s="482" t="s">
        <v>88</v>
      </c>
    </row>
    <row r="234" spans="1:11" s="2" customFormat="1" ht="16">
      <c r="A234" s="2" t="s">
        <v>1047</v>
      </c>
      <c r="D234" s="469">
        <v>2000</v>
      </c>
      <c r="E234" s="469">
        <v>1000</v>
      </c>
      <c r="G234" s="481" t="s">
        <v>569</v>
      </c>
      <c r="H234" s="482" t="s">
        <v>88</v>
      </c>
      <c r="I234" s="453"/>
      <c r="J234" s="481" t="s">
        <v>902</v>
      </c>
      <c r="K234" s="482" t="s">
        <v>88</v>
      </c>
    </row>
    <row r="235" spans="1:11" s="2" customFormat="1" ht="17" thickBot="1">
      <c r="A235" s="2" t="s">
        <v>902</v>
      </c>
      <c r="D235" s="469">
        <v>14000</v>
      </c>
      <c r="E235" s="469" t="s">
        <v>726</v>
      </c>
      <c r="G235" s="481" t="s">
        <v>570</v>
      </c>
      <c r="H235" s="482" t="s">
        <v>89</v>
      </c>
      <c r="I235" s="453"/>
      <c r="J235" s="484" t="s">
        <v>573</v>
      </c>
      <c r="K235" s="485" t="s">
        <v>89</v>
      </c>
    </row>
    <row r="236" spans="1:11" s="2" customFormat="1" ht="17" thickBot="1">
      <c r="A236" s="2" t="s">
        <v>1048</v>
      </c>
      <c r="D236" s="469" t="s">
        <v>726</v>
      </c>
      <c r="E236" s="469" t="s">
        <v>726</v>
      </c>
      <c r="G236" s="484" t="s">
        <v>1083</v>
      </c>
      <c r="H236" s="485" t="s">
        <v>89</v>
      </c>
      <c r="I236" s="453"/>
      <c r="J236" s="484" t="s">
        <v>659</v>
      </c>
      <c r="K236" s="485" t="s">
        <v>91</v>
      </c>
    </row>
    <row r="237" spans="1:11" s="2" customFormat="1" ht="17" thickBot="1">
      <c r="A237" s="2" t="s">
        <v>1049</v>
      </c>
      <c r="D237" s="469">
        <v>12000</v>
      </c>
      <c r="E237" s="469">
        <v>3000</v>
      </c>
      <c r="G237" s="484" t="s">
        <v>902</v>
      </c>
      <c r="H237" s="485" t="s">
        <v>91</v>
      </c>
      <c r="I237" s="6"/>
      <c r="J237" s="6"/>
      <c r="K237" s="6"/>
    </row>
    <row r="238" spans="1:11" s="2" customFormat="1" ht="16">
      <c r="A238" s="2" t="s">
        <v>858</v>
      </c>
      <c r="D238" s="469" t="s">
        <v>726</v>
      </c>
      <c r="E238" s="469" t="s">
        <v>726</v>
      </c>
    </row>
    <row r="239" spans="1:11" s="2" customFormat="1" ht="16">
      <c r="A239" s="2" t="s">
        <v>559</v>
      </c>
      <c r="D239" s="469">
        <v>60000</v>
      </c>
      <c r="E239" s="469" t="s">
        <v>726</v>
      </c>
    </row>
    <row r="240" spans="1:11" s="2" customFormat="1" ht="16"/>
    <row r="241" spans="1:9" s="2" customFormat="1" ht="16">
      <c r="A241" s="2" t="s">
        <v>1050</v>
      </c>
    </row>
    <row r="242" spans="1:9" s="2" customFormat="1" ht="16">
      <c r="H242" s="6" t="s">
        <v>1091</v>
      </c>
    </row>
    <row r="243" spans="1:9" s="2" customFormat="1" ht="16">
      <c r="A243" s="2" t="s">
        <v>163</v>
      </c>
      <c r="B243" s="2" t="s">
        <v>1051</v>
      </c>
      <c r="H243" s="6" t="s">
        <v>1092</v>
      </c>
    </row>
    <row r="244" spans="1:9" s="2" customFormat="1" ht="16">
      <c r="B244" s="470" t="s">
        <v>1052</v>
      </c>
    </row>
    <row r="245" spans="1:9" s="2" customFormat="1" ht="16"/>
    <row r="246" spans="1:9" s="2" customFormat="1" ht="16">
      <c r="A246" s="471" t="s">
        <v>1053</v>
      </c>
      <c r="B246" s="472"/>
      <c r="C246" s="472"/>
      <c r="D246" s="472"/>
      <c r="E246" s="472"/>
      <c r="F246" s="472"/>
      <c r="G246" s="472"/>
      <c r="H246" s="472"/>
    </row>
    <row r="247" spans="1:9" s="2" customFormat="1" ht="16"/>
    <row r="248" spans="1:9" s="2" customFormat="1" ht="16">
      <c r="A248" s="2" t="s">
        <v>1054</v>
      </c>
    </row>
    <row r="249" spans="1:9" s="2" customFormat="1" ht="16">
      <c r="D249" s="34">
        <v>2017</v>
      </c>
      <c r="E249" s="34">
        <v>2018</v>
      </c>
    </row>
    <row r="250" spans="1:9" s="2" customFormat="1" ht="16">
      <c r="D250" s="90" t="s">
        <v>1044</v>
      </c>
      <c r="E250" s="90" t="s">
        <v>1044</v>
      </c>
      <c r="H250" s="2" t="s">
        <v>1085</v>
      </c>
    </row>
    <row r="251" spans="1:9" s="2" customFormat="1" ht="17" thickBot="1">
      <c r="A251" s="4" t="s">
        <v>1055</v>
      </c>
      <c r="H251" s="2" t="s">
        <v>1086</v>
      </c>
    </row>
    <row r="252" spans="1:9" s="2" customFormat="1" ht="16">
      <c r="A252" s="34" t="s">
        <v>88</v>
      </c>
      <c r="B252" s="2" t="s">
        <v>1056</v>
      </c>
      <c r="D252" s="473">
        <f>D255-D254-D253</f>
        <v>85000</v>
      </c>
      <c r="E252" s="167">
        <f>E228</f>
        <v>90000</v>
      </c>
      <c r="H252" s="461" t="s">
        <v>1080</v>
      </c>
      <c r="I252" s="454"/>
    </row>
    <row r="253" spans="1:9" s="2" customFormat="1" ht="16">
      <c r="A253" s="34" t="s">
        <v>89</v>
      </c>
      <c r="B253" s="2" t="s">
        <v>1057</v>
      </c>
      <c r="D253" s="167">
        <f>-D229</f>
        <v>-3000</v>
      </c>
      <c r="E253" s="167">
        <f>-E229</f>
        <v>-14000</v>
      </c>
      <c r="H253" s="455" t="s">
        <v>1081</v>
      </c>
      <c r="I253" s="478" t="s">
        <v>88</v>
      </c>
    </row>
    <row r="254" spans="1:9" s="2" customFormat="1" ht="16">
      <c r="A254" s="34" t="s">
        <v>89</v>
      </c>
      <c r="B254" s="2" t="s">
        <v>1058</v>
      </c>
      <c r="D254" s="167">
        <f>-D230</f>
        <v>-2000</v>
      </c>
      <c r="E254" s="167">
        <f>-E230</f>
        <v>-1000</v>
      </c>
      <c r="H254" s="455" t="s">
        <v>628</v>
      </c>
      <c r="I254" s="478" t="s">
        <v>89</v>
      </c>
    </row>
    <row r="255" spans="1:9" s="2" customFormat="1" ht="16">
      <c r="A255" s="34" t="s">
        <v>91</v>
      </c>
      <c r="B255" s="474" t="s">
        <v>1059</v>
      </c>
      <c r="D255" s="475">
        <f>D231</f>
        <v>80000</v>
      </c>
      <c r="E255" s="476">
        <f>SUM(E252:E254)</f>
        <v>75000</v>
      </c>
      <c r="H255" s="455" t="s">
        <v>568</v>
      </c>
      <c r="I255" s="478" t="s">
        <v>89</v>
      </c>
    </row>
    <row r="256" spans="1:9" s="2" customFormat="1" ht="17" thickBot="1">
      <c r="D256" s="477"/>
      <c r="E256" s="477"/>
      <c r="H256" s="458" t="s">
        <v>1080</v>
      </c>
      <c r="I256" s="479" t="s">
        <v>91</v>
      </c>
    </row>
    <row r="257" spans="1:11" s="2" customFormat="1" ht="16">
      <c r="A257" s="4" t="s">
        <v>1060</v>
      </c>
      <c r="D257" s="477"/>
      <c r="E257" s="477"/>
      <c r="H257" s="2" t="s">
        <v>1087</v>
      </c>
    </row>
    <row r="258" spans="1:11" s="2" customFormat="1" ht="16">
      <c r="A258" s="34" t="s">
        <v>88</v>
      </c>
      <c r="B258" s="2" t="s">
        <v>1061</v>
      </c>
      <c r="D258" s="167">
        <f>D232</f>
        <v>19000</v>
      </c>
      <c r="E258" s="167">
        <f>E232</f>
        <v>16000</v>
      </c>
      <c r="K258" s="2" t="s">
        <v>1088</v>
      </c>
    </row>
    <row r="259" spans="1:11" s="2" customFormat="1" ht="16">
      <c r="A259" s="34" t="s">
        <v>88</v>
      </c>
      <c r="B259" s="2" t="s">
        <v>1062</v>
      </c>
      <c r="D259" s="42">
        <v>0</v>
      </c>
      <c r="E259" s="42">
        <v>0</v>
      </c>
      <c r="K259" s="2" t="s">
        <v>1089</v>
      </c>
    </row>
    <row r="260" spans="1:11" s="2" customFormat="1" ht="16">
      <c r="A260" s="34" t="s">
        <v>89</v>
      </c>
      <c r="B260" s="76" t="s">
        <v>1063</v>
      </c>
      <c r="D260" s="473">
        <f>D262-D261-D259-D258</f>
        <v>-3000</v>
      </c>
      <c r="E260" s="167">
        <f>-E233</f>
        <v>-3000</v>
      </c>
    </row>
    <row r="261" spans="1:11" s="2" customFormat="1" ht="16">
      <c r="A261" s="34" t="s">
        <v>89</v>
      </c>
      <c r="B261" s="2" t="s">
        <v>1064</v>
      </c>
      <c r="D261" s="167">
        <f>-D234</f>
        <v>-2000</v>
      </c>
      <c r="E261" s="167">
        <f>-E234</f>
        <v>-1000</v>
      </c>
      <c r="H261" s="2" t="s">
        <v>1090</v>
      </c>
    </row>
    <row r="262" spans="1:11" s="2" customFormat="1" ht="16">
      <c r="A262" s="34" t="s">
        <v>91</v>
      </c>
      <c r="B262" s="76" t="s">
        <v>1065</v>
      </c>
      <c r="D262" s="475">
        <f>D235</f>
        <v>14000</v>
      </c>
      <c r="E262" s="476">
        <f>SUM(E258:E261)</f>
        <v>12000</v>
      </c>
    </row>
    <row r="263" spans="1:11" s="2" customFormat="1" ht="16">
      <c r="D263" s="477"/>
      <c r="E263" s="477"/>
    </row>
    <row r="264" spans="1:11" s="2" customFormat="1" ht="16">
      <c r="A264" s="4" t="s">
        <v>1066</v>
      </c>
      <c r="D264" s="477"/>
      <c r="E264" s="477"/>
    </row>
    <row r="265" spans="1:11" s="2" customFormat="1" ht="16">
      <c r="A265" s="34" t="s">
        <v>88</v>
      </c>
      <c r="B265" s="2" t="s">
        <v>1067</v>
      </c>
      <c r="D265" s="473">
        <f>D268-D267-D266</f>
        <v>18000</v>
      </c>
      <c r="E265" s="473">
        <f>-D267</f>
        <v>12000</v>
      </c>
    </row>
    <row r="266" spans="1:11" s="2" customFormat="1" ht="16">
      <c r="A266" s="34" t="s">
        <v>88</v>
      </c>
      <c r="B266" s="2" t="s">
        <v>1068</v>
      </c>
      <c r="D266" s="167">
        <f>D262</f>
        <v>14000</v>
      </c>
      <c r="E266" s="167">
        <f>E262</f>
        <v>12000</v>
      </c>
    </row>
    <row r="267" spans="1:11" s="2" customFormat="1" ht="16">
      <c r="A267" s="34" t="s">
        <v>89</v>
      </c>
      <c r="B267" s="2" t="s">
        <v>1069</v>
      </c>
      <c r="D267" s="167">
        <f>-D237</f>
        <v>-12000</v>
      </c>
      <c r="E267" s="167">
        <f>-E237</f>
        <v>-3000</v>
      </c>
    </row>
    <row r="268" spans="1:11" s="2" customFormat="1" ht="16">
      <c r="A268" s="34" t="s">
        <v>91</v>
      </c>
      <c r="B268" s="2" t="s">
        <v>1070</v>
      </c>
      <c r="D268" s="473">
        <f>-D272</f>
        <v>20000</v>
      </c>
      <c r="E268" s="473">
        <f>SUM(E265:E267)</f>
        <v>21000</v>
      </c>
    </row>
    <row r="269" spans="1:11" s="2" customFormat="1" ht="16">
      <c r="D269" s="477"/>
      <c r="E269" s="477"/>
    </row>
    <row r="270" spans="1:11" s="2" customFormat="1" ht="16">
      <c r="A270" s="4" t="s">
        <v>1071</v>
      </c>
      <c r="D270" s="477"/>
      <c r="E270" s="477"/>
    </row>
    <row r="271" spans="1:11" s="2" customFormat="1" ht="16">
      <c r="A271" s="34" t="s">
        <v>88</v>
      </c>
      <c r="B271" s="474" t="s">
        <v>1072</v>
      </c>
      <c r="D271" s="167">
        <f>D255</f>
        <v>80000</v>
      </c>
      <c r="E271" s="473">
        <f>E255</f>
        <v>75000</v>
      </c>
    </row>
    <row r="272" spans="1:11" s="2" customFormat="1" ht="16">
      <c r="A272" s="34" t="s">
        <v>89</v>
      </c>
      <c r="B272" s="2" t="s">
        <v>1073</v>
      </c>
      <c r="D272" s="473">
        <f>D273-D271</f>
        <v>-20000</v>
      </c>
      <c r="E272" s="167">
        <f>-E268</f>
        <v>-21000</v>
      </c>
    </row>
    <row r="273" spans="1:8" s="2" customFormat="1" ht="16">
      <c r="A273" s="34" t="s">
        <v>91</v>
      </c>
      <c r="B273" s="474" t="s">
        <v>1074</v>
      </c>
      <c r="D273" s="167">
        <f>D239</f>
        <v>60000</v>
      </c>
      <c r="E273" s="473">
        <f>E271+E272</f>
        <v>54000</v>
      </c>
    </row>
    <row r="274" spans="1:8" s="2" customFormat="1" ht="16"/>
    <row r="275" spans="1:8" s="2" customFormat="1" ht="16">
      <c r="A275" s="486" t="s">
        <v>1093</v>
      </c>
      <c r="B275" s="486"/>
      <c r="C275" s="486"/>
      <c r="D275" s="486"/>
      <c r="E275" s="486"/>
      <c r="F275" s="486"/>
      <c r="G275" s="486"/>
      <c r="H275" s="486"/>
    </row>
    <row r="276" spans="1:8" s="2" customFormat="1" ht="16">
      <c r="A276" s="2" t="s">
        <v>1094</v>
      </c>
    </row>
    <row r="277" spans="1:8" s="2" customFormat="1" ht="16">
      <c r="A277" s="2" t="s">
        <v>1095</v>
      </c>
    </row>
    <row r="278" spans="1:8" s="2" customFormat="1" ht="16"/>
    <row r="279" spans="1:8" s="2" customFormat="1" ht="16">
      <c r="A279" s="4" t="s">
        <v>2085</v>
      </c>
    </row>
    <row r="280" spans="1:8" s="2" customFormat="1" ht="16">
      <c r="A280" s="4" t="s">
        <v>1096</v>
      </c>
    </row>
    <row r="281" spans="1:8" s="2" customFormat="1" ht="16">
      <c r="A281" s="4" t="s">
        <v>1097</v>
      </c>
    </row>
    <row r="282" spans="1:8" s="2" customFormat="1" ht="16"/>
    <row r="283" spans="1:8" s="2" customFormat="1" ht="16">
      <c r="A283" s="468" t="s">
        <v>1098</v>
      </c>
      <c r="B283" s="468"/>
      <c r="C283" s="468"/>
      <c r="D283" s="468"/>
      <c r="E283" s="468"/>
      <c r="F283" s="468"/>
      <c r="G283" s="468"/>
      <c r="H283" s="468"/>
    </row>
    <row r="284" spans="1:8" s="2" customFormat="1" ht="16">
      <c r="A284" s="2" t="s">
        <v>1099</v>
      </c>
    </row>
    <row r="285" spans="1:8" s="2" customFormat="1" ht="16"/>
    <row r="286" spans="1:8" s="2" customFormat="1" ht="16">
      <c r="D286" s="90">
        <v>2020</v>
      </c>
      <c r="E286" s="90">
        <v>2021</v>
      </c>
    </row>
    <row r="287" spans="1:8" s="2" customFormat="1" ht="16">
      <c r="B287" s="2" t="s">
        <v>566</v>
      </c>
      <c r="D287" s="49">
        <v>1500000</v>
      </c>
      <c r="E287" s="49">
        <v>1700000</v>
      </c>
      <c r="G287" s="2" t="s">
        <v>989</v>
      </c>
    </row>
    <row r="288" spans="1:8" s="2" customFormat="1" ht="16">
      <c r="B288" s="2" t="s">
        <v>628</v>
      </c>
      <c r="D288" s="49">
        <v>200000</v>
      </c>
      <c r="E288" s="49">
        <v>300000</v>
      </c>
      <c r="G288" s="2" t="s">
        <v>1104</v>
      </c>
    </row>
    <row r="289" spans="1:7" s="2" customFormat="1" ht="16">
      <c r="B289" s="2" t="s">
        <v>568</v>
      </c>
      <c r="D289" s="49">
        <v>10000</v>
      </c>
      <c r="E289" s="49">
        <v>15000</v>
      </c>
      <c r="G289" s="2" t="s">
        <v>1105</v>
      </c>
    </row>
    <row r="290" spans="1:7" s="2" customFormat="1" ht="16">
      <c r="B290" s="2" t="s">
        <v>1101</v>
      </c>
      <c r="D290" s="49">
        <v>150000</v>
      </c>
      <c r="E290" s="49" t="s">
        <v>726</v>
      </c>
      <c r="G290" s="2" t="s">
        <v>1106</v>
      </c>
    </row>
    <row r="291" spans="1:7" s="2" customFormat="1" ht="16">
      <c r="B291" s="2" t="s">
        <v>1100</v>
      </c>
      <c r="D291" s="49" t="s">
        <v>726</v>
      </c>
      <c r="E291" s="49" t="s">
        <v>726</v>
      </c>
      <c r="G291" s="2" t="s">
        <v>1107</v>
      </c>
    </row>
    <row r="292" spans="1:7" s="2" customFormat="1" ht="16">
      <c r="B292" s="2" t="s">
        <v>569</v>
      </c>
      <c r="D292" s="49">
        <v>300000</v>
      </c>
      <c r="E292" s="49">
        <v>400000</v>
      </c>
    </row>
    <row r="293" spans="1:7" s="2" customFormat="1" ht="16">
      <c r="B293" s="2" t="s">
        <v>1083</v>
      </c>
      <c r="D293" s="49">
        <v>12000</v>
      </c>
      <c r="E293" s="49">
        <v>18000</v>
      </c>
    </row>
    <row r="294" spans="1:7" s="2" customFormat="1" ht="16">
      <c r="B294" s="2" t="s">
        <v>570</v>
      </c>
      <c r="D294" s="49">
        <v>14000</v>
      </c>
      <c r="E294" s="49">
        <v>19000</v>
      </c>
    </row>
    <row r="295" spans="1:7" s="2" customFormat="1" ht="16">
      <c r="D295" s="49"/>
      <c r="E295" s="49"/>
    </row>
    <row r="296" spans="1:7" s="2" customFormat="1" ht="16" hidden="1">
      <c r="B296" s="2" t="s">
        <v>1102</v>
      </c>
      <c r="D296" s="49"/>
      <c r="E296" s="49"/>
    </row>
    <row r="297" spans="1:7" s="2" customFormat="1" ht="16" hidden="1">
      <c r="B297" s="2" t="s">
        <v>935</v>
      </c>
      <c r="D297" s="49">
        <v>190000</v>
      </c>
      <c r="E297" s="49">
        <v>270000</v>
      </c>
    </row>
    <row r="298" spans="1:7" s="2" customFormat="1" ht="16" hidden="1">
      <c r="B298" s="2" t="s">
        <v>1103</v>
      </c>
      <c r="D298" s="49">
        <v>230000</v>
      </c>
      <c r="E298" s="49">
        <v>215000</v>
      </c>
    </row>
    <row r="299" spans="1:7" s="2" customFormat="1" ht="16" hidden="1"/>
    <row r="300" spans="1:7" s="2" customFormat="1" ht="16" hidden="1">
      <c r="A300" s="2" t="s">
        <v>1108</v>
      </c>
    </row>
    <row r="301" spans="1:7" s="2" customFormat="1" ht="16" hidden="1"/>
    <row r="302" spans="1:7" s="2" customFormat="1" ht="16" hidden="1">
      <c r="A302" s="2" t="s">
        <v>1109</v>
      </c>
    </row>
    <row r="303" spans="1:7" s="2" customFormat="1" ht="16" hidden="1">
      <c r="A303" s="2" t="s">
        <v>1110</v>
      </c>
    </row>
    <row r="304" spans="1:7" s="2" customFormat="1" ht="16"/>
    <row r="305" spans="1:12" s="2" customFormat="1" ht="16">
      <c r="B305" s="2" t="s">
        <v>1111</v>
      </c>
      <c r="D305" s="90">
        <v>2020</v>
      </c>
      <c r="E305" s="90">
        <v>2021</v>
      </c>
    </row>
    <row r="306" spans="1:12" s="2" customFormat="1" ht="16">
      <c r="B306" s="2" t="s">
        <v>935</v>
      </c>
      <c r="D306" s="49">
        <v>190000</v>
      </c>
      <c r="E306" s="49">
        <v>270000</v>
      </c>
    </row>
    <row r="307" spans="1:12" s="2" customFormat="1" ht="16">
      <c r="B307" s="2" t="s">
        <v>1103</v>
      </c>
      <c r="D307" s="49">
        <v>230000</v>
      </c>
      <c r="E307" s="49">
        <v>215000</v>
      </c>
    </row>
    <row r="308" spans="1:12" s="2" customFormat="1" ht="16"/>
    <row r="309" spans="1:12" s="2" customFormat="1" ht="16">
      <c r="B309" s="2" t="s">
        <v>1112</v>
      </c>
      <c r="D309" s="487">
        <f>MIN(D306:D307)</f>
        <v>190000</v>
      </c>
      <c r="E309" s="487">
        <f>MIN(E306:E307)</f>
        <v>215000</v>
      </c>
      <c r="F309" s="2" t="s">
        <v>1113</v>
      </c>
    </row>
    <row r="310" spans="1:12" s="2" customFormat="1" ht="16"/>
    <row r="311" spans="1:12" s="2" customFormat="1" ht="16">
      <c r="A311" s="492" t="s">
        <v>559</v>
      </c>
      <c r="B311" s="493">
        <v>2020</v>
      </c>
      <c r="C311" s="493">
        <v>2021</v>
      </c>
      <c r="D311" s="493" t="s">
        <v>1080</v>
      </c>
      <c r="E311" s="493">
        <v>2020</v>
      </c>
      <c r="F311" s="493">
        <v>2021</v>
      </c>
      <c r="G311" s="493" t="s">
        <v>659</v>
      </c>
      <c r="H311" s="493">
        <v>2020</v>
      </c>
      <c r="I311" s="493">
        <v>2021</v>
      </c>
      <c r="J311" s="493" t="s">
        <v>902</v>
      </c>
      <c r="K311" s="493">
        <v>2020</v>
      </c>
      <c r="L311" s="493">
        <v>2021</v>
      </c>
    </row>
    <row r="312" spans="1:12" s="2" customFormat="1" ht="16">
      <c r="A312" s="489" t="s">
        <v>909</v>
      </c>
      <c r="B312" s="490">
        <f>E315</f>
        <v>1290000</v>
      </c>
      <c r="C312" s="490">
        <f>F315</f>
        <v>1385000</v>
      </c>
      <c r="D312" s="490" t="s">
        <v>1081</v>
      </c>
      <c r="E312" s="490">
        <f>D287</f>
        <v>1500000</v>
      </c>
      <c r="F312" s="490">
        <f>E287</f>
        <v>1700000</v>
      </c>
      <c r="G312" s="490" t="s">
        <v>572</v>
      </c>
      <c r="H312" s="490">
        <f>D290</f>
        <v>150000</v>
      </c>
      <c r="I312" s="490">
        <f>-H314</f>
        <v>190000</v>
      </c>
      <c r="J312" s="490" t="s">
        <v>569</v>
      </c>
      <c r="K312" s="490">
        <f>D292</f>
        <v>300000</v>
      </c>
      <c r="L312" s="490">
        <f>E292</f>
        <v>400000</v>
      </c>
    </row>
    <row r="313" spans="1:12" s="2" customFormat="1" ht="16">
      <c r="A313" s="489" t="s">
        <v>1114</v>
      </c>
      <c r="B313" s="490">
        <f>-H315</f>
        <v>-234000</v>
      </c>
      <c r="C313" s="490">
        <f>-I315</f>
        <v>-338000</v>
      </c>
      <c r="D313" s="490" t="s">
        <v>628</v>
      </c>
      <c r="E313" s="490">
        <f>-D288</f>
        <v>-200000</v>
      </c>
      <c r="F313" s="490">
        <f>-E288</f>
        <v>-300000</v>
      </c>
      <c r="G313" s="490" t="s">
        <v>902</v>
      </c>
      <c r="H313" s="490">
        <f>K315</f>
        <v>274000</v>
      </c>
      <c r="I313" s="490">
        <f>L315</f>
        <v>363000</v>
      </c>
      <c r="J313" s="490" t="s">
        <v>570</v>
      </c>
      <c r="K313" s="490">
        <f>-D294</f>
        <v>-14000</v>
      </c>
      <c r="L313" s="490">
        <f>-E294</f>
        <v>-19000</v>
      </c>
    </row>
    <row r="314" spans="1:12" s="2" customFormat="1" ht="16">
      <c r="A314" s="489" t="s">
        <v>559</v>
      </c>
      <c r="B314" s="491">
        <f>B312+B313</f>
        <v>1056000</v>
      </c>
      <c r="C314" s="491">
        <f>C312+C313</f>
        <v>1047000</v>
      </c>
      <c r="D314" s="490" t="s">
        <v>568</v>
      </c>
      <c r="E314" s="490">
        <f>-D289</f>
        <v>-10000</v>
      </c>
      <c r="F314" s="490">
        <f>-E289</f>
        <v>-15000</v>
      </c>
      <c r="G314" s="490" t="s">
        <v>573</v>
      </c>
      <c r="H314" s="490">
        <f>-D309</f>
        <v>-190000</v>
      </c>
      <c r="I314" s="490">
        <f>-E309</f>
        <v>-215000</v>
      </c>
      <c r="J314" s="490" t="s">
        <v>1083</v>
      </c>
      <c r="K314" s="490">
        <f>-D293</f>
        <v>-12000</v>
      </c>
      <c r="L314" s="490">
        <f>-E293</f>
        <v>-18000</v>
      </c>
    </row>
    <row r="315" spans="1:12" s="2" customFormat="1" ht="16">
      <c r="A315" s="489"/>
      <c r="B315" s="490"/>
      <c r="C315" s="490"/>
      <c r="D315" s="490" t="s">
        <v>1080</v>
      </c>
      <c r="E315" s="491">
        <f>SUM(E312:E314)</f>
        <v>1290000</v>
      </c>
      <c r="F315" s="491">
        <f>SUM(F312:F314)</f>
        <v>1385000</v>
      </c>
      <c r="G315" s="490" t="s">
        <v>659</v>
      </c>
      <c r="H315" s="491">
        <f>SUM(H312:H314)</f>
        <v>234000</v>
      </c>
      <c r="I315" s="491">
        <f>SUM(I312:I314)</f>
        <v>338000</v>
      </c>
      <c r="J315" s="490" t="s">
        <v>902</v>
      </c>
      <c r="K315" s="491">
        <f>SUM(K312:K314)</f>
        <v>274000</v>
      </c>
      <c r="L315" s="491">
        <f>SUM(L312:L314)</f>
        <v>363000</v>
      </c>
    </row>
    <row r="316" spans="1:12" s="2" customFormat="1" ht="16">
      <c r="A316" s="453"/>
      <c r="B316" s="453"/>
      <c r="C316" s="453"/>
      <c r="D316" s="453"/>
      <c r="E316" s="453"/>
    </row>
    <row r="317" spans="1:12" s="2" customFormat="1" ht="16">
      <c r="A317" s="489" t="s">
        <v>1115</v>
      </c>
      <c r="B317" s="453"/>
      <c r="C317" s="453"/>
      <c r="E317" s="453"/>
    </row>
    <row r="318" spans="1:12" s="2" customFormat="1" ht="16">
      <c r="A318" s="2" t="s">
        <v>1116</v>
      </c>
      <c r="B318" s="453"/>
      <c r="C318" s="453"/>
      <c r="E318" s="488"/>
    </row>
    <row r="319" spans="1:12" s="2" customFormat="1" ht="16">
      <c r="A319" s="2" t="s">
        <v>1117</v>
      </c>
      <c r="B319" s="488"/>
      <c r="C319" s="453"/>
      <c r="E319" s="488"/>
    </row>
    <row r="320" spans="1:12" s="2" customFormat="1" ht="16">
      <c r="A320" s="2" t="s">
        <v>1118</v>
      </c>
      <c r="B320" s="488"/>
      <c r="C320" s="453"/>
      <c r="E320" s="488"/>
    </row>
    <row r="321" spans="1:8" s="2" customFormat="1" ht="16">
      <c r="A321" s="2" t="s">
        <v>1119</v>
      </c>
      <c r="B321" s="488"/>
      <c r="C321" s="453"/>
      <c r="E321" s="488"/>
    </row>
    <row r="322" spans="1:8" s="2" customFormat="1" ht="16">
      <c r="A322" s="2" t="s">
        <v>1120</v>
      </c>
      <c r="B322" s="488"/>
      <c r="C322" s="6"/>
      <c r="D322" s="6"/>
      <c r="E322" s="6"/>
    </row>
    <row r="323" spans="1:8" s="2" customFormat="1" ht="16">
      <c r="A323" s="2" t="s">
        <v>1121</v>
      </c>
    </row>
    <row r="324" spans="1:8" s="2" customFormat="1" ht="16">
      <c r="A324" s="2" t="s">
        <v>1122</v>
      </c>
    </row>
    <row r="325" spans="1:8" s="2" customFormat="1" ht="16">
      <c r="A325" s="2" t="s">
        <v>1123</v>
      </c>
    </row>
    <row r="326" spans="1:8" s="2" customFormat="1" ht="16">
      <c r="A326" s="2" t="s">
        <v>1124</v>
      </c>
    </row>
    <row r="327" spans="1:8" s="2" customFormat="1" ht="16">
      <c r="A327" s="2" t="s">
        <v>1125</v>
      </c>
    </row>
    <row r="328" spans="1:8" s="2" customFormat="1" ht="16"/>
    <row r="329" spans="1:8" s="2" customFormat="1" ht="16">
      <c r="A329" s="486" t="s">
        <v>1134</v>
      </c>
      <c r="B329" s="486"/>
      <c r="C329" s="486"/>
      <c r="D329" s="486"/>
      <c r="E329" s="486"/>
      <c r="F329" s="486"/>
      <c r="G329" s="486"/>
      <c r="H329" s="486"/>
    </row>
    <row r="330" spans="1:8" s="2" customFormat="1" ht="16">
      <c r="A330" s="2" t="s">
        <v>1135</v>
      </c>
    </row>
    <row r="331" spans="1:8" s="2" customFormat="1" ht="16">
      <c r="A331" s="2" t="s">
        <v>1136</v>
      </c>
    </row>
    <row r="332" spans="1:8" s="2" customFormat="1" ht="16"/>
    <row r="333" spans="1:8" s="2" customFormat="1" ht="16">
      <c r="A333" s="2" t="s">
        <v>1137</v>
      </c>
    </row>
    <row r="334" spans="1:8" s="2" customFormat="1" ht="16">
      <c r="A334" s="2" t="s">
        <v>1138</v>
      </c>
    </row>
    <row r="335" spans="1:8" s="2" customFormat="1" ht="16"/>
    <row r="336" spans="1:8" s="2" customFormat="1" ht="16">
      <c r="A336" s="2" t="s">
        <v>1126</v>
      </c>
      <c r="B336" s="2" t="s">
        <v>1127</v>
      </c>
      <c r="C336" s="2" t="s">
        <v>1128</v>
      </c>
      <c r="D336" s="2" t="s">
        <v>1129</v>
      </c>
      <c r="E336" s="2" t="s">
        <v>558</v>
      </c>
      <c r="F336" s="2" t="s">
        <v>1130</v>
      </c>
    </row>
    <row r="337" spans="1:6" s="2" customFormat="1" ht="16">
      <c r="A337" s="89"/>
      <c r="B337" s="89"/>
      <c r="C337" s="89" t="s">
        <v>1131</v>
      </c>
      <c r="D337" s="89" t="s">
        <v>1044</v>
      </c>
      <c r="E337" s="89" t="s">
        <v>1131</v>
      </c>
      <c r="F337" s="89" t="s">
        <v>1044</v>
      </c>
    </row>
    <row r="338" spans="1:6" ht="16">
      <c r="A338" s="494">
        <v>43101</v>
      </c>
      <c r="B338" s="2" t="s">
        <v>572</v>
      </c>
      <c r="C338" s="58">
        <v>1000</v>
      </c>
      <c r="D338" s="2">
        <v>80</v>
      </c>
      <c r="E338" s="2"/>
      <c r="F338" s="2"/>
    </row>
    <row r="339" spans="1:6" ht="16">
      <c r="A339" s="494">
        <v>43146</v>
      </c>
      <c r="B339" s="2" t="s">
        <v>1132</v>
      </c>
      <c r="C339" s="58">
        <v>2000</v>
      </c>
      <c r="D339" s="2">
        <v>90</v>
      </c>
      <c r="E339" s="2"/>
      <c r="F339" s="2"/>
    </row>
    <row r="340" spans="1:6" ht="16">
      <c r="A340" s="494">
        <v>43176</v>
      </c>
      <c r="B340" s="2" t="s">
        <v>1133</v>
      </c>
      <c r="C340" s="2"/>
      <c r="D340" s="2"/>
      <c r="E340" s="2">
        <v>800</v>
      </c>
      <c r="F340" s="2">
        <v>120</v>
      </c>
    </row>
    <row r="341" spans="1:6" ht="16">
      <c r="A341" s="494">
        <v>43204</v>
      </c>
      <c r="B341" s="2" t="s">
        <v>1132</v>
      </c>
      <c r="C341" s="58">
        <v>2500</v>
      </c>
      <c r="D341" s="2">
        <v>100</v>
      </c>
      <c r="E341" s="2"/>
      <c r="F341" s="2"/>
    </row>
    <row r="342" spans="1:6" ht="16">
      <c r="A342" s="494">
        <v>43325</v>
      </c>
      <c r="B342" s="2" t="s">
        <v>1132</v>
      </c>
      <c r="C342" s="58">
        <v>3000</v>
      </c>
      <c r="D342" s="2">
        <v>95</v>
      </c>
      <c r="E342" s="2"/>
      <c r="F342" s="2"/>
    </row>
    <row r="343" spans="1:6" ht="16">
      <c r="A343" s="494">
        <v>43367</v>
      </c>
      <c r="B343" s="2" t="s">
        <v>1133</v>
      </c>
      <c r="C343" s="2"/>
      <c r="D343" s="2"/>
      <c r="E343" s="58">
        <v>3000</v>
      </c>
      <c r="F343" s="2">
        <v>140</v>
      </c>
    </row>
    <row r="344" spans="1:6" ht="16">
      <c r="A344" s="494">
        <v>43383</v>
      </c>
      <c r="B344" s="2" t="s">
        <v>1132</v>
      </c>
      <c r="C344" s="58">
        <v>4000</v>
      </c>
      <c r="D344" s="2">
        <v>75</v>
      </c>
      <c r="E344" s="2"/>
      <c r="F344" s="2"/>
    </row>
    <row r="345" spans="1:6" ht="16">
      <c r="A345" s="494">
        <v>43465</v>
      </c>
      <c r="B345" s="2" t="s">
        <v>1133</v>
      </c>
      <c r="C345" s="2"/>
      <c r="D345" s="2"/>
      <c r="E345" s="58">
        <v>3000</v>
      </c>
      <c r="F345" s="2">
        <v>100</v>
      </c>
    </row>
    <row r="347" spans="1:6" ht="16">
      <c r="A347" s="63" t="s">
        <v>1139</v>
      </c>
    </row>
    <row r="348" spans="1:6" ht="16">
      <c r="A348" s="63" t="s">
        <v>1140</v>
      </c>
    </row>
    <row r="350" spans="1:6" ht="16">
      <c r="A350" s="63" t="s">
        <v>989</v>
      </c>
      <c r="B350" s="63"/>
      <c r="C350" s="63"/>
      <c r="D350" s="63"/>
      <c r="E350" s="63"/>
    </row>
    <row r="351" spans="1:6" ht="16">
      <c r="A351" s="63" t="s">
        <v>1141</v>
      </c>
      <c r="B351" s="63"/>
      <c r="C351" s="63"/>
      <c r="D351" s="63"/>
      <c r="E351" s="63"/>
    </row>
    <row r="352" spans="1:6" ht="16">
      <c r="A352" s="63" t="s">
        <v>1142</v>
      </c>
      <c r="B352" s="63"/>
      <c r="C352" s="63"/>
      <c r="D352" s="63"/>
      <c r="E352" s="63"/>
    </row>
    <row r="353" spans="1:8" ht="16">
      <c r="A353" s="63" t="s">
        <v>1143</v>
      </c>
      <c r="B353" s="63"/>
      <c r="C353" s="63"/>
      <c r="D353" s="63"/>
      <c r="E353" s="63"/>
    </row>
    <row r="354" spans="1:8" ht="16">
      <c r="A354" s="63" t="s">
        <v>1144</v>
      </c>
      <c r="B354" s="63"/>
      <c r="C354" s="63"/>
      <c r="D354" s="63"/>
      <c r="E354" s="63"/>
    </row>
    <row r="355" spans="1:8" ht="16">
      <c r="A355" s="63" t="s">
        <v>1145</v>
      </c>
      <c r="B355" s="63"/>
      <c r="C355" s="63"/>
      <c r="D355" s="63"/>
      <c r="E355" s="63"/>
    </row>
    <row r="357" spans="1:8">
      <c r="A357" s="3" t="s">
        <v>1108</v>
      </c>
    </row>
    <row r="358" spans="1:8" ht="16">
      <c r="A358" s="495" t="s">
        <v>1141</v>
      </c>
      <c r="B358" s="465"/>
      <c r="C358" s="465"/>
      <c r="D358" s="465"/>
      <c r="E358" s="465"/>
      <c r="F358" s="465"/>
      <c r="G358" s="465"/>
      <c r="H358" s="465"/>
    </row>
    <row r="360" spans="1:8" ht="16">
      <c r="A360" s="2" t="s">
        <v>1126</v>
      </c>
      <c r="B360" s="2" t="s">
        <v>1127</v>
      </c>
      <c r="C360" s="34" t="s">
        <v>1128</v>
      </c>
      <c r="D360" s="34" t="s">
        <v>1129</v>
      </c>
      <c r="E360" s="34" t="s">
        <v>558</v>
      </c>
      <c r="F360" s="34" t="s">
        <v>1130</v>
      </c>
    </row>
    <row r="361" spans="1:8" ht="16">
      <c r="A361" s="89"/>
      <c r="B361" s="89"/>
      <c r="C361" s="90" t="s">
        <v>1131</v>
      </c>
      <c r="D361" s="90" t="s">
        <v>1044</v>
      </c>
      <c r="E361" s="90" t="s">
        <v>1131</v>
      </c>
      <c r="F361" s="90" t="s">
        <v>1044</v>
      </c>
    </row>
    <row r="362" spans="1:8" ht="16">
      <c r="A362" s="494">
        <v>43101</v>
      </c>
      <c r="B362" s="2" t="s">
        <v>572</v>
      </c>
      <c r="C362" s="49">
        <v>1000</v>
      </c>
      <c r="D362" s="34">
        <v>80</v>
      </c>
      <c r="E362" s="34"/>
      <c r="F362" s="34"/>
    </row>
    <row r="363" spans="1:8" ht="16">
      <c r="A363" s="494">
        <v>43146</v>
      </c>
      <c r="B363" s="2" t="s">
        <v>1132</v>
      </c>
      <c r="C363" s="49">
        <v>2000</v>
      </c>
      <c r="D363" s="34">
        <v>90</v>
      </c>
      <c r="E363" s="34"/>
      <c r="F363" s="34"/>
    </row>
    <row r="364" spans="1:8" ht="16">
      <c r="A364" s="494">
        <v>43176</v>
      </c>
      <c r="B364" s="2" t="s">
        <v>1133</v>
      </c>
      <c r="C364" s="34"/>
      <c r="D364" s="34"/>
      <c r="E364" s="34">
        <v>800</v>
      </c>
      <c r="F364" s="34">
        <v>120</v>
      </c>
    </row>
    <row r="365" spans="1:8" s="63" customFormat="1" ht="16">
      <c r="A365" s="494">
        <v>43204</v>
      </c>
      <c r="B365" s="2" t="s">
        <v>1132</v>
      </c>
      <c r="C365" s="49">
        <v>2500</v>
      </c>
      <c r="D365" s="34">
        <v>100</v>
      </c>
      <c r="E365" s="34"/>
      <c r="F365" s="34"/>
    </row>
    <row r="366" spans="1:8" s="63" customFormat="1" ht="16">
      <c r="A366" s="494">
        <v>43325</v>
      </c>
      <c r="B366" s="2" t="s">
        <v>1132</v>
      </c>
      <c r="C366" s="49">
        <v>3000</v>
      </c>
      <c r="D366" s="34">
        <v>95</v>
      </c>
      <c r="E366" s="34"/>
      <c r="F366" s="34"/>
    </row>
    <row r="367" spans="1:8" s="63" customFormat="1" ht="16">
      <c r="A367" s="494">
        <v>43367</v>
      </c>
      <c r="B367" s="2" t="s">
        <v>1133</v>
      </c>
      <c r="C367" s="34"/>
      <c r="D367" s="34"/>
      <c r="E367" s="49">
        <v>3000</v>
      </c>
      <c r="F367" s="34">
        <v>140</v>
      </c>
    </row>
    <row r="368" spans="1:8" s="63" customFormat="1" ht="16">
      <c r="A368" s="494">
        <v>43383</v>
      </c>
      <c r="B368" s="2" t="s">
        <v>1132</v>
      </c>
      <c r="C368" s="49">
        <v>4000</v>
      </c>
      <c r="D368" s="34">
        <v>75</v>
      </c>
      <c r="E368" s="34"/>
      <c r="F368" s="34"/>
    </row>
    <row r="369" spans="1:6" s="63" customFormat="1" ht="16">
      <c r="A369" s="494">
        <v>43465</v>
      </c>
      <c r="B369" s="2" t="s">
        <v>1133</v>
      </c>
      <c r="C369" s="34"/>
      <c r="D369" s="34"/>
      <c r="E369" s="49">
        <v>3000</v>
      </c>
      <c r="F369" s="34">
        <v>100</v>
      </c>
    </row>
    <row r="370" spans="1:6" s="63" customFormat="1" ht="16">
      <c r="B370" s="63" t="s">
        <v>436</v>
      </c>
      <c r="C370" s="497">
        <f>SUM(C362:C369)</f>
        <v>12500</v>
      </c>
      <c r="D370" s="63" t="s">
        <v>436</v>
      </c>
      <c r="E370" s="497">
        <f>SUM(E362:E369)</f>
        <v>6800</v>
      </c>
    </row>
    <row r="371" spans="1:6" s="63" customFormat="1" ht="16">
      <c r="C371" s="498" t="s">
        <v>1146</v>
      </c>
      <c r="E371" s="498" t="s">
        <v>1147</v>
      </c>
    </row>
    <row r="372" spans="1:6" s="63" customFormat="1" ht="16">
      <c r="C372" s="498" t="s">
        <v>1128</v>
      </c>
      <c r="E372" s="498" t="s">
        <v>1148</v>
      </c>
    </row>
    <row r="373" spans="1:6" s="63" customFormat="1" ht="16"/>
    <row r="374" spans="1:6" s="63" customFormat="1" ht="16">
      <c r="A374" s="63" t="s">
        <v>1149</v>
      </c>
    </row>
    <row r="375" spans="1:6" s="63" customFormat="1" ht="16">
      <c r="C375" s="496">
        <f>C370-E370</f>
        <v>5700</v>
      </c>
      <c r="E375" s="63" t="s">
        <v>1150</v>
      </c>
    </row>
    <row r="376" spans="1:6" s="63" customFormat="1" ht="16"/>
    <row r="377" spans="1:6" s="63" customFormat="1" ht="16">
      <c r="A377" s="63" t="s">
        <v>1151</v>
      </c>
    </row>
    <row r="378" spans="1:6" s="63" customFormat="1" ht="16">
      <c r="A378" s="495" t="s">
        <v>1157</v>
      </c>
      <c r="B378" s="495"/>
      <c r="C378" s="499">
        <f>4000*75+1700*95</f>
        <v>461500</v>
      </c>
      <c r="E378" s="63" t="s">
        <v>1152</v>
      </c>
    </row>
    <row r="379" spans="1:6" s="63" customFormat="1" ht="16"/>
    <row r="380" spans="1:6" s="63" customFormat="1" ht="16">
      <c r="A380" s="63" t="s">
        <v>1153</v>
      </c>
    </row>
    <row r="381" spans="1:6" s="63" customFormat="1" ht="16">
      <c r="A381" s="63" t="s">
        <v>1154</v>
      </c>
    </row>
    <row r="382" spans="1:6" s="63" customFormat="1" ht="16">
      <c r="A382" s="63" t="s">
        <v>1155</v>
      </c>
    </row>
    <row r="383" spans="1:6" s="63" customFormat="1" ht="16">
      <c r="A383" s="63" t="s">
        <v>1156</v>
      </c>
    </row>
    <row r="384" spans="1:6" s="63" customFormat="1" ht="16"/>
    <row r="385" spans="1:8" ht="16">
      <c r="A385" s="495" t="s">
        <v>2086</v>
      </c>
      <c r="B385" s="465"/>
      <c r="C385" s="465"/>
      <c r="D385" s="465"/>
      <c r="E385" s="465"/>
      <c r="F385" s="465"/>
      <c r="G385" s="465"/>
      <c r="H385" s="465"/>
    </row>
    <row r="386" spans="1:8" s="63" customFormat="1" ht="16"/>
    <row r="387" spans="1:8" ht="16">
      <c r="A387" s="2" t="s">
        <v>1126</v>
      </c>
      <c r="B387" s="2" t="s">
        <v>1127</v>
      </c>
      <c r="C387" s="34" t="s">
        <v>1128</v>
      </c>
      <c r="D387" s="34" t="s">
        <v>1129</v>
      </c>
      <c r="E387" s="34" t="s">
        <v>558</v>
      </c>
      <c r="F387" s="34" t="s">
        <v>1130</v>
      </c>
    </row>
    <row r="388" spans="1:8" ht="16">
      <c r="A388" s="89"/>
      <c r="B388" s="89"/>
      <c r="C388" s="90" t="s">
        <v>1131</v>
      </c>
      <c r="D388" s="90" t="s">
        <v>1044</v>
      </c>
      <c r="E388" s="90" t="s">
        <v>1131</v>
      </c>
      <c r="F388" s="90" t="s">
        <v>1044</v>
      </c>
    </row>
    <row r="389" spans="1:8" ht="16">
      <c r="A389" s="494">
        <v>43101</v>
      </c>
      <c r="B389" s="2" t="s">
        <v>572</v>
      </c>
      <c r="C389" s="49">
        <v>1000</v>
      </c>
      <c r="D389" s="34">
        <v>80</v>
      </c>
      <c r="E389" s="34"/>
      <c r="F389" s="34"/>
    </row>
    <row r="390" spans="1:8" ht="16">
      <c r="A390" s="494">
        <v>43146</v>
      </c>
      <c r="B390" s="2" t="s">
        <v>1132</v>
      </c>
      <c r="C390" s="49">
        <v>2000</v>
      </c>
      <c r="D390" s="34">
        <v>90</v>
      </c>
      <c r="E390" s="34"/>
      <c r="F390" s="34"/>
    </row>
    <row r="391" spans="1:8" ht="16">
      <c r="A391" s="494">
        <v>43176</v>
      </c>
      <c r="B391" s="2" t="s">
        <v>1133</v>
      </c>
      <c r="C391" s="34"/>
      <c r="D391" s="34"/>
      <c r="E391" s="34">
        <v>800</v>
      </c>
      <c r="F391" s="34">
        <v>120</v>
      </c>
    </row>
    <row r="392" spans="1:8" s="63" customFormat="1" ht="16">
      <c r="A392" s="494">
        <v>43204</v>
      </c>
      <c r="B392" s="2" t="s">
        <v>1132</v>
      </c>
      <c r="C392" s="49">
        <v>2500</v>
      </c>
      <c r="D392" s="34">
        <v>100</v>
      </c>
      <c r="E392" s="34"/>
      <c r="F392" s="34"/>
    </row>
    <row r="393" spans="1:8" s="63" customFormat="1" ht="16">
      <c r="A393" s="494">
        <v>43325</v>
      </c>
      <c r="B393" s="2" t="s">
        <v>1132</v>
      </c>
      <c r="C393" s="49">
        <v>3000</v>
      </c>
      <c r="D393" s="34">
        <v>95</v>
      </c>
      <c r="E393" s="34"/>
      <c r="F393" s="34"/>
    </row>
    <row r="394" spans="1:8" s="63" customFormat="1" ht="16">
      <c r="A394" s="494">
        <v>43367</v>
      </c>
      <c r="B394" s="2" t="s">
        <v>1133</v>
      </c>
      <c r="C394" s="34"/>
      <c r="D394" s="34"/>
      <c r="E394" s="49">
        <v>3000</v>
      </c>
      <c r="F394" s="34">
        <v>140</v>
      </c>
    </row>
    <row r="395" spans="1:8" s="63" customFormat="1" ht="16">
      <c r="A395" s="494">
        <v>43383</v>
      </c>
      <c r="B395" s="2" t="s">
        <v>1132</v>
      </c>
      <c r="C395" s="49">
        <v>4000</v>
      </c>
      <c r="D395" s="34">
        <v>75</v>
      </c>
      <c r="E395" s="34"/>
      <c r="F395" s="34"/>
    </row>
    <row r="396" spans="1:8" s="63" customFormat="1" ht="16">
      <c r="A396" s="494">
        <v>43465</v>
      </c>
      <c r="B396" s="2" t="s">
        <v>1133</v>
      </c>
      <c r="C396" s="34"/>
      <c r="D396" s="34"/>
      <c r="E396" s="49">
        <v>3000</v>
      </c>
      <c r="F396" s="34">
        <v>100</v>
      </c>
    </row>
    <row r="397" spans="1:8" s="63" customFormat="1" ht="16">
      <c r="B397" s="63" t="s">
        <v>436</v>
      </c>
      <c r="C397" s="497">
        <f>SUM(C389:C396)</f>
        <v>12500</v>
      </c>
      <c r="D397" s="63" t="s">
        <v>436</v>
      </c>
      <c r="E397" s="497">
        <f>SUM(E389:E396)</f>
        <v>6800</v>
      </c>
    </row>
    <row r="398" spans="1:8" s="63" customFormat="1" ht="16">
      <c r="C398" s="498" t="s">
        <v>1146</v>
      </c>
      <c r="E398" s="498" t="s">
        <v>1147</v>
      </c>
    </row>
    <row r="399" spans="1:8" s="63" customFormat="1" ht="16">
      <c r="C399" s="498" t="s">
        <v>1128</v>
      </c>
      <c r="E399" s="498" t="s">
        <v>1148</v>
      </c>
    </row>
    <row r="401" spans="1:8" s="63" customFormat="1" ht="16">
      <c r="A401" s="63" t="s">
        <v>1149</v>
      </c>
    </row>
    <row r="402" spans="1:8" s="63" customFormat="1" ht="16">
      <c r="C402" s="496">
        <f>C397-E397</f>
        <v>5700</v>
      </c>
      <c r="E402" s="63" t="s">
        <v>1150</v>
      </c>
    </row>
    <row r="404" spans="1:8" s="63" customFormat="1" ht="16">
      <c r="A404" s="63" t="s">
        <v>2087</v>
      </c>
    </row>
    <row r="405" spans="1:8" s="63" customFormat="1" ht="16">
      <c r="B405" s="63" t="s">
        <v>1160</v>
      </c>
      <c r="D405" s="500">
        <f>C389*D389</f>
        <v>80000</v>
      </c>
      <c r="F405" s="63" t="s">
        <v>1163</v>
      </c>
    </row>
    <row r="406" spans="1:8" s="63" customFormat="1" ht="16">
      <c r="B406" s="63" t="s">
        <v>1161</v>
      </c>
      <c r="D406" s="500">
        <f>SUMPRODUCT(C390:C396,D390:D396)</f>
        <v>1015000</v>
      </c>
      <c r="H406" s="63" t="s">
        <v>1164</v>
      </c>
    </row>
    <row r="407" spans="1:8" s="63" customFormat="1" ht="16">
      <c r="B407" s="63" t="s">
        <v>1162</v>
      </c>
      <c r="D407" s="501">
        <f>D405+D406</f>
        <v>1095000</v>
      </c>
    </row>
    <row r="408" spans="1:8" s="63" customFormat="1" ht="16"/>
    <row r="409" spans="1:8" s="63" customFormat="1" ht="16">
      <c r="B409" s="63" t="s">
        <v>1165</v>
      </c>
      <c r="D409" s="64">
        <f>C397</f>
        <v>12500</v>
      </c>
      <c r="H409" s="63" t="s">
        <v>2088</v>
      </c>
    </row>
    <row r="410" spans="1:8" s="63" customFormat="1" ht="16"/>
    <row r="411" spans="1:8" s="63" customFormat="1" ht="16">
      <c r="B411" s="63" t="s">
        <v>1168</v>
      </c>
      <c r="D411" s="502">
        <f>D407/D409</f>
        <v>87.6</v>
      </c>
      <c r="F411" s="63" t="s">
        <v>1166</v>
      </c>
    </row>
    <row r="412" spans="1:8" s="63" customFormat="1" ht="16"/>
    <row r="413" spans="1:8" ht="16">
      <c r="A413" s="63" t="s">
        <v>1167</v>
      </c>
    </row>
    <row r="415" spans="1:8" ht="16">
      <c r="A415" s="63" t="s">
        <v>1169</v>
      </c>
    </row>
    <row r="417" spans="1:8" ht="16">
      <c r="A417" s="63" t="s">
        <v>1170</v>
      </c>
      <c r="D417" s="503">
        <f>D411*C402</f>
        <v>499319.99999999994</v>
      </c>
      <c r="E417" s="500"/>
      <c r="F417" s="500" t="s">
        <v>1171</v>
      </c>
    </row>
    <row r="419" spans="1:8" ht="16">
      <c r="A419" s="495" t="s">
        <v>1143</v>
      </c>
      <c r="B419" s="465"/>
      <c r="C419" s="465"/>
      <c r="D419" s="465"/>
      <c r="E419" s="465"/>
      <c r="F419" s="465"/>
      <c r="G419" s="465"/>
      <c r="H419" s="465"/>
    </row>
    <row r="420" spans="1:8" ht="16">
      <c r="A420" s="63" t="s">
        <v>1172</v>
      </c>
    </row>
    <row r="421" spans="1:8" ht="16">
      <c r="A421" s="63" t="s">
        <v>1140</v>
      </c>
    </row>
    <row r="423" spans="1:8" ht="16">
      <c r="B423" s="63" t="s">
        <v>1173</v>
      </c>
      <c r="C423" s="63"/>
      <c r="D423" s="63"/>
    </row>
    <row r="424" spans="1:8" ht="16">
      <c r="B424" s="63" t="s">
        <v>1174</v>
      </c>
      <c r="C424" s="63"/>
      <c r="D424" s="500">
        <v>110</v>
      </c>
    </row>
    <row r="425" spans="1:8" ht="16">
      <c r="B425" s="63" t="s">
        <v>1175</v>
      </c>
      <c r="C425" s="63"/>
      <c r="D425" s="500">
        <v>-20</v>
      </c>
    </row>
    <row r="426" spans="1:8" ht="16">
      <c r="B426" s="63" t="s">
        <v>1176</v>
      </c>
      <c r="C426" s="63"/>
      <c r="D426" s="500">
        <v>-5</v>
      </c>
    </row>
    <row r="427" spans="1:8" ht="16">
      <c r="B427" s="63" t="s">
        <v>1177</v>
      </c>
      <c r="C427" s="63"/>
      <c r="D427" s="501">
        <f>SUM(D424:D426)</f>
        <v>85</v>
      </c>
    </row>
    <row r="429" spans="1:8" ht="16">
      <c r="B429" s="63" t="s">
        <v>1178</v>
      </c>
      <c r="D429" s="500">
        <v>5700</v>
      </c>
    </row>
    <row r="431" spans="1:8" ht="16">
      <c r="B431" s="63" t="s">
        <v>1179</v>
      </c>
      <c r="D431" s="503">
        <f>D427*D429</f>
        <v>484500</v>
      </c>
      <c r="F431" s="63" t="s">
        <v>1180</v>
      </c>
    </row>
    <row r="434" spans="1:8" ht="16">
      <c r="A434" s="63" t="s">
        <v>2089</v>
      </c>
    </row>
    <row r="435" spans="1:8" ht="16">
      <c r="A435" s="63" t="s">
        <v>2090</v>
      </c>
    </row>
    <row r="436" spans="1:8" ht="16">
      <c r="A436" s="63" t="s">
        <v>2091</v>
      </c>
    </row>
    <row r="438" spans="1:8" s="63" customFormat="1" ht="16">
      <c r="A438" s="495" t="s">
        <v>1144</v>
      </c>
      <c r="B438" s="504"/>
      <c r="C438" s="504"/>
      <c r="D438" s="504"/>
      <c r="E438" s="504"/>
      <c r="F438" s="504"/>
      <c r="G438" s="504"/>
      <c r="H438" s="504"/>
    </row>
    <row r="439" spans="1:8" s="63" customFormat="1" ht="16"/>
    <row r="440" spans="1:8" s="63" customFormat="1" ht="16">
      <c r="A440" s="63" t="s">
        <v>1186</v>
      </c>
    </row>
    <row r="441" spans="1:8" s="63" customFormat="1" ht="16">
      <c r="A441" s="63" t="s">
        <v>2092</v>
      </c>
    </row>
    <row r="442" spans="1:8" s="63" customFormat="1" ht="16">
      <c r="A442" s="63" t="s">
        <v>2093</v>
      </c>
      <c r="C442" s="5"/>
      <c r="D442" s="508"/>
      <c r="E442" s="508"/>
      <c r="F442" s="508" t="s">
        <v>1195</v>
      </c>
    </row>
    <row r="443" spans="1:8" s="63" customFormat="1" ht="16">
      <c r="C443" s="5"/>
      <c r="D443" s="508" t="s">
        <v>1193</v>
      </c>
      <c r="E443" s="508" t="s">
        <v>1194</v>
      </c>
      <c r="F443" s="508" t="s">
        <v>1196</v>
      </c>
    </row>
    <row r="444" spans="1:8" s="63" customFormat="1" ht="16">
      <c r="A444" s="63" t="s">
        <v>1187</v>
      </c>
      <c r="C444" s="505"/>
      <c r="D444" s="509" t="s">
        <v>1190</v>
      </c>
      <c r="E444" s="509" t="s">
        <v>1191</v>
      </c>
      <c r="F444" s="509" t="s">
        <v>1192</v>
      </c>
    </row>
    <row r="445" spans="1:8" s="63" customFormat="1" ht="16">
      <c r="C445" s="510" t="s">
        <v>1188</v>
      </c>
      <c r="D445" s="673">
        <f>'2ב'!C57</f>
        <v>461500</v>
      </c>
      <c r="E445" s="709">
        <f>'2ב'!D110</f>
        <v>484500</v>
      </c>
      <c r="F445" s="167">
        <f>MIN(E445,D445)</f>
        <v>461500</v>
      </c>
    </row>
    <row r="446" spans="1:8" s="63" customFormat="1" ht="16">
      <c r="C446" s="510" t="s">
        <v>1189</v>
      </c>
      <c r="D446" s="167">
        <f>'2ב'!D96</f>
        <v>499319.99999999994</v>
      </c>
      <c r="E446" s="710"/>
      <c r="F446" s="167">
        <f>MIN(E445,D446)</f>
        <v>484500</v>
      </c>
    </row>
    <row r="447" spans="1:8" s="63" customFormat="1" ht="16"/>
    <row r="448" spans="1:8" s="63" customFormat="1" ht="16">
      <c r="A448" s="495" t="s">
        <v>1145</v>
      </c>
      <c r="B448" s="504"/>
      <c r="C448" s="504"/>
      <c r="D448" s="504"/>
      <c r="E448" s="504"/>
      <c r="F448" s="504"/>
      <c r="G448" s="504"/>
      <c r="H448" s="504"/>
    </row>
    <row r="449" spans="1:8" s="63" customFormat="1" ht="16"/>
    <row r="450" spans="1:8" s="63" customFormat="1" ht="16">
      <c r="A450" s="63" t="s">
        <v>1197</v>
      </c>
    </row>
    <row r="451" spans="1:8" s="63" customFormat="1" ht="16">
      <c r="C451" s="507" t="s">
        <v>1188</v>
      </c>
      <c r="D451" s="507" t="s">
        <v>1189</v>
      </c>
      <c r="G451" s="507" t="s">
        <v>1188</v>
      </c>
      <c r="H451" s="507" t="s">
        <v>1189</v>
      </c>
    </row>
    <row r="452" spans="1:8" s="63" customFormat="1" ht="16">
      <c r="A452" s="63" t="s">
        <v>558</v>
      </c>
      <c r="C452" s="496">
        <f>'2ב'!E70*'2ב'!F70+'2ב'!E73*'2ב'!F73+'2ב'!E75*'2ב'!F75</f>
        <v>816000</v>
      </c>
      <c r="D452" s="496">
        <f>C452</f>
        <v>816000</v>
      </c>
      <c r="E452" s="63" t="s">
        <v>1198</v>
      </c>
    </row>
    <row r="453" spans="1:8" s="63" customFormat="1" ht="16">
      <c r="A453" s="63" t="s">
        <v>858</v>
      </c>
      <c r="C453" s="513">
        <f>-G462</f>
        <v>-633500</v>
      </c>
      <c r="D453" s="513">
        <f>-H462</f>
        <v>-610500</v>
      </c>
      <c r="E453" s="63" t="s">
        <v>566</v>
      </c>
      <c r="G453" s="506">
        <f>C452</f>
        <v>816000</v>
      </c>
      <c r="H453" s="506">
        <f>D452</f>
        <v>816000</v>
      </c>
    </row>
    <row r="454" spans="1:8" s="63" customFormat="1" ht="16">
      <c r="A454" s="63" t="s">
        <v>559</v>
      </c>
      <c r="C454" s="515">
        <f>C452+C453</f>
        <v>182500</v>
      </c>
      <c r="D454" s="515">
        <f>D452+D453</f>
        <v>205500</v>
      </c>
      <c r="E454" s="63" t="s">
        <v>1057</v>
      </c>
      <c r="G454" s="506">
        <v>0</v>
      </c>
      <c r="H454" s="506">
        <v>0</v>
      </c>
    </row>
    <row r="455" spans="1:8" s="63" customFormat="1" ht="16">
      <c r="E455" s="63" t="s">
        <v>1058</v>
      </c>
      <c r="G455" s="506">
        <v>0</v>
      </c>
      <c r="H455" s="506">
        <v>0</v>
      </c>
    </row>
    <row r="456" spans="1:8" s="63" customFormat="1" ht="16">
      <c r="E456" s="63" t="s">
        <v>909</v>
      </c>
      <c r="G456" s="512">
        <f>G453</f>
        <v>816000</v>
      </c>
      <c r="H456" s="512">
        <f>H453</f>
        <v>816000</v>
      </c>
    </row>
    <row r="457" spans="1:8" s="63" customFormat="1" ht="16">
      <c r="G457" s="506"/>
      <c r="H457" s="506"/>
    </row>
    <row r="458" spans="1:8" s="63" customFormat="1" ht="16">
      <c r="A458" s="63" t="s">
        <v>1201</v>
      </c>
      <c r="E458" s="63" t="s">
        <v>1199</v>
      </c>
      <c r="G458" s="506"/>
      <c r="H458" s="506"/>
    </row>
    <row r="459" spans="1:8" s="63" customFormat="1" ht="16">
      <c r="A459" s="63" t="s">
        <v>1202</v>
      </c>
      <c r="E459" s="63" t="s">
        <v>572</v>
      </c>
      <c r="G459" s="506">
        <f>'2ב'!C68*'2ב'!D68</f>
        <v>80000</v>
      </c>
      <c r="H459" s="506">
        <f>G459</f>
        <v>80000</v>
      </c>
    </row>
    <row r="460" spans="1:8" s="63" customFormat="1" ht="16">
      <c r="A460" s="63" t="s">
        <v>1203</v>
      </c>
      <c r="E460" s="63" t="s">
        <v>1200</v>
      </c>
      <c r="G460" s="506">
        <f>'2ב'!C42*'2ב'!D42+'2ב'!C44*'2ב'!D44+'2ב'!C45*'2ב'!D45+'2ב'!C47*'2ב'!D47</f>
        <v>1015000</v>
      </c>
      <c r="H460" s="506">
        <f>G460</f>
        <v>1015000</v>
      </c>
    </row>
    <row r="461" spans="1:8" s="63" customFormat="1" ht="16">
      <c r="E461" s="63" t="s">
        <v>1240</v>
      </c>
      <c r="G461" s="513">
        <f>-F445</f>
        <v>-461500</v>
      </c>
      <c r="H461" s="513">
        <f>-F446</f>
        <v>-484500</v>
      </c>
    </row>
    <row r="462" spans="1:8" s="63" customFormat="1" ht="16">
      <c r="A462" s="63" t="s">
        <v>1204</v>
      </c>
      <c r="E462" s="63" t="s">
        <v>858</v>
      </c>
      <c r="G462" s="514">
        <f>SUM(G459:G461)</f>
        <v>633500</v>
      </c>
      <c r="H462" s="514">
        <f>SUM(H459:H461)</f>
        <v>610500</v>
      </c>
    </row>
    <row r="463" spans="1:8" s="63" customFormat="1" ht="16">
      <c r="A463" s="63" t="s">
        <v>1205</v>
      </c>
    </row>
    <row r="464" spans="1:8" s="63" customFormat="1" ht="16"/>
    <row r="465" spans="1:8" s="63" customFormat="1" ht="16">
      <c r="A465" s="63" t="s">
        <v>1206</v>
      </c>
    </row>
    <row r="466" spans="1:8" s="63" customFormat="1" ht="16">
      <c r="A466" s="63" t="s">
        <v>1207</v>
      </c>
    </row>
    <row r="467" spans="1:8" s="63" customFormat="1" ht="16"/>
    <row r="468" spans="1:8" s="63" customFormat="1" ht="17" thickBot="1"/>
    <row r="469" spans="1:8" s="63" customFormat="1" ht="16">
      <c r="A469" s="516" t="s">
        <v>1184</v>
      </c>
      <c r="B469" s="517"/>
      <c r="C469" s="517"/>
      <c r="D469" s="517"/>
      <c r="E469" s="517"/>
      <c r="F469" s="517"/>
      <c r="G469" s="517"/>
      <c r="H469" s="518"/>
    </row>
    <row r="470" spans="1:8" s="63" customFormat="1" ht="16">
      <c r="A470" s="519" t="s">
        <v>1208</v>
      </c>
      <c r="H470" s="520"/>
    </row>
    <row r="471" spans="1:8" s="63" customFormat="1" ht="16">
      <c r="A471" s="519" t="s">
        <v>1209</v>
      </c>
      <c r="H471" s="520"/>
    </row>
    <row r="472" spans="1:8" s="63" customFormat="1" ht="16">
      <c r="A472" s="519"/>
      <c r="H472" s="520"/>
    </row>
    <row r="473" spans="1:8" s="63" customFormat="1" ht="16">
      <c r="A473" s="519" t="s">
        <v>1210</v>
      </c>
      <c r="H473" s="520"/>
    </row>
    <row r="474" spans="1:8" s="63" customFormat="1" ht="16">
      <c r="A474" s="519"/>
      <c r="D474" s="63" t="s">
        <v>1211</v>
      </c>
      <c r="G474" s="505" t="s">
        <v>88</v>
      </c>
      <c r="H474" s="520"/>
    </row>
    <row r="475" spans="1:8" s="63" customFormat="1" ht="16">
      <c r="A475" s="519"/>
      <c r="D475" s="63" t="s">
        <v>1212</v>
      </c>
      <c r="G475" s="505" t="s">
        <v>89</v>
      </c>
      <c r="H475" s="520"/>
    </row>
    <row r="476" spans="1:8" s="63" customFormat="1" ht="16">
      <c r="A476" s="519"/>
      <c r="D476" s="63" t="s">
        <v>1213</v>
      </c>
      <c r="G476" s="505" t="s">
        <v>91</v>
      </c>
      <c r="H476" s="520"/>
    </row>
    <row r="477" spans="1:8" s="63" customFormat="1" ht="16">
      <c r="A477" s="519"/>
      <c r="H477" s="520"/>
    </row>
    <row r="478" spans="1:8" s="63" customFormat="1" ht="16">
      <c r="A478" s="519" t="s">
        <v>1214</v>
      </c>
      <c r="H478" s="520"/>
    </row>
    <row r="479" spans="1:8" s="63" customFormat="1" ht="16">
      <c r="A479" s="63" t="s">
        <v>1215</v>
      </c>
      <c r="H479" s="520"/>
    </row>
    <row r="480" spans="1:8" s="63" customFormat="1" ht="16">
      <c r="A480" s="63" t="s">
        <v>1216</v>
      </c>
      <c r="H480" s="520"/>
    </row>
    <row r="481" spans="1:8" s="63" customFormat="1" ht="16">
      <c r="B481" s="63" t="s">
        <v>1217</v>
      </c>
      <c r="H481" s="520"/>
    </row>
    <row r="482" spans="1:8" s="63" customFormat="1" ht="16">
      <c r="A482" s="519"/>
      <c r="H482" s="520"/>
    </row>
    <row r="483" spans="1:8" s="63" customFormat="1" ht="16">
      <c r="A483" s="519" t="s">
        <v>1218</v>
      </c>
      <c r="H483" s="520"/>
    </row>
    <row r="484" spans="1:8" s="63" customFormat="1" ht="16">
      <c r="A484" s="519"/>
      <c r="B484" s="63" t="s">
        <v>1219</v>
      </c>
      <c r="D484" s="505" t="s">
        <v>88</v>
      </c>
      <c r="H484" s="520"/>
    </row>
    <row r="485" spans="1:8" s="63" customFormat="1" ht="16">
      <c r="A485" s="519"/>
      <c r="B485" s="63" t="s">
        <v>1175</v>
      </c>
      <c r="D485" s="505" t="s">
        <v>89</v>
      </c>
      <c r="H485" s="520"/>
    </row>
    <row r="486" spans="1:8" s="63" customFormat="1" ht="16">
      <c r="A486" s="519"/>
      <c r="B486" s="63" t="s">
        <v>1176</v>
      </c>
      <c r="D486" s="505" t="s">
        <v>89</v>
      </c>
      <c r="H486" s="520"/>
    </row>
    <row r="487" spans="1:8" s="63" customFormat="1" ht="16">
      <c r="A487" s="519"/>
      <c r="B487" s="63" t="s">
        <v>1220</v>
      </c>
      <c r="D487" s="505" t="s">
        <v>91</v>
      </c>
      <c r="H487" s="520"/>
    </row>
    <row r="488" spans="1:8" s="63" customFormat="1" ht="16">
      <c r="A488" s="519"/>
      <c r="H488" s="520"/>
    </row>
    <row r="489" spans="1:8" s="63" customFormat="1" ht="16">
      <c r="A489" s="519"/>
      <c r="B489" s="63" t="s">
        <v>1221</v>
      </c>
      <c r="H489" s="520"/>
    </row>
    <row r="490" spans="1:8" s="63" customFormat="1" ht="16">
      <c r="A490" s="519"/>
      <c r="H490" s="520"/>
    </row>
    <row r="491" spans="1:8" s="63" customFormat="1" ht="16">
      <c r="A491" s="519" t="s">
        <v>1222</v>
      </c>
      <c r="H491" s="520"/>
    </row>
    <row r="492" spans="1:8" s="63" customFormat="1" ht="16">
      <c r="A492" s="519"/>
      <c r="H492" s="520"/>
    </row>
    <row r="493" spans="1:8" s="63" customFormat="1" ht="16">
      <c r="A493" s="519" t="s">
        <v>1223</v>
      </c>
      <c r="H493" s="520"/>
    </row>
    <row r="494" spans="1:8" s="63" customFormat="1" ht="16">
      <c r="A494" s="519" t="s">
        <v>1224</v>
      </c>
      <c r="H494" s="520"/>
    </row>
    <row r="495" spans="1:8" s="63" customFormat="1" ht="17" thickBot="1">
      <c r="A495" s="521" t="s">
        <v>1225</v>
      </c>
      <c r="B495" s="524"/>
      <c r="C495" s="524"/>
      <c r="D495" s="524"/>
      <c r="E495" s="524"/>
      <c r="F495" s="524"/>
      <c r="G495" s="524"/>
      <c r="H495" s="525"/>
    </row>
    <row r="496" spans="1:8" s="63" customFormat="1" ht="16"/>
    <row r="497" spans="1:1" s="63" customFormat="1" ht="16">
      <c r="A497" s="63" t="s">
        <v>1226</v>
      </c>
    </row>
    <row r="498" spans="1:1" s="63" customFormat="1" ht="16"/>
    <row r="499" spans="1:1" s="63" customFormat="1" ht="16"/>
    <row r="500" spans="1:1" s="63" customFormat="1" ht="16"/>
    <row r="501" spans="1:1" s="63" customFormat="1" ht="16"/>
    <row r="502" spans="1:1" s="63" customFormat="1" ht="16"/>
    <row r="503" spans="1:1" s="63" customFormat="1" ht="16"/>
    <row r="504" spans="1:1" s="63" customFormat="1" ht="16"/>
    <row r="505" spans="1:1" s="63" customFormat="1" ht="16"/>
    <row r="506" spans="1:1" s="63" customFormat="1" ht="16"/>
    <row r="507" spans="1:1" s="63" customFormat="1" ht="16"/>
    <row r="508" spans="1:1" s="63" customFormat="1" ht="16"/>
    <row r="509" spans="1:1" s="63" customFormat="1" ht="16"/>
    <row r="510" spans="1:1" s="63" customFormat="1" ht="16"/>
    <row r="511" spans="1:1" s="63" customFormat="1" ht="16"/>
    <row r="512" spans="1:1" s="63" customFormat="1" ht="16"/>
    <row r="513" spans="1:8" s="63" customFormat="1" ht="16"/>
    <row r="514" spans="1:8" s="63" customFormat="1" ht="16"/>
    <row r="515" spans="1:8" s="63" customFormat="1" ht="16"/>
    <row r="516" spans="1:8" s="63" customFormat="1" ht="16"/>
    <row r="517" spans="1:8" s="63" customFormat="1" ht="16"/>
    <row r="518" spans="1:8" s="63" customFormat="1" ht="16"/>
    <row r="519" spans="1:8" s="63" customFormat="1" ht="16"/>
    <row r="520" spans="1:8" s="63" customFormat="1" ht="16"/>
    <row r="521" spans="1:8" s="63" customFormat="1" ht="16"/>
    <row r="522" spans="1:8" s="63" customFormat="1" ht="16"/>
    <row r="523" spans="1:8" s="63" customFormat="1" ht="16"/>
    <row r="524" spans="1:8" s="63" customFormat="1" ht="16"/>
    <row r="525" spans="1:8" s="63" customFormat="1" ht="16"/>
    <row r="526" spans="1:8" s="63" customFormat="1" ht="16"/>
    <row r="527" spans="1:8" s="63" customFormat="1" ht="16"/>
    <row r="528" spans="1:8" s="63" customFormat="1" ht="23">
      <c r="A528" s="674" t="s">
        <v>2094</v>
      </c>
      <c r="B528" s="674"/>
      <c r="C528" s="674"/>
      <c r="D528" s="674"/>
      <c r="E528" s="674"/>
      <c r="F528" s="674"/>
      <c r="G528" s="674"/>
      <c r="H528" s="674"/>
    </row>
    <row r="529" spans="1:8" s="63" customFormat="1" ht="16"/>
    <row r="530" spans="1:8" s="63" customFormat="1" ht="16">
      <c r="A530" s="63" t="s">
        <v>2095</v>
      </c>
    </row>
    <row r="531" spans="1:8" s="63" customFormat="1" ht="16">
      <c r="A531" s="63" t="s">
        <v>2096</v>
      </c>
    </row>
    <row r="532" spans="1:8" s="63" customFormat="1" ht="16">
      <c r="A532" s="63" t="s">
        <v>2097</v>
      </c>
    </row>
    <row r="533" spans="1:8" s="63" customFormat="1" ht="16">
      <c r="A533" s="63" t="s">
        <v>2098</v>
      </c>
    </row>
    <row r="534" spans="1:8" s="63" customFormat="1" ht="16">
      <c r="A534" s="63" t="s">
        <v>2099</v>
      </c>
    </row>
    <row r="535" spans="1:8" s="63" customFormat="1" ht="16">
      <c r="A535" s="63" t="s">
        <v>2100</v>
      </c>
    </row>
    <row r="536" spans="1:8" s="63" customFormat="1" ht="16">
      <c r="A536" s="63" t="s">
        <v>2101</v>
      </c>
    </row>
    <row r="537" spans="1:8" s="63" customFormat="1" ht="16"/>
    <row r="538" spans="1:8" s="63" customFormat="1" ht="16">
      <c r="A538" s="495" t="s">
        <v>1335</v>
      </c>
      <c r="B538" s="495"/>
      <c r="C538" s="495"/>
      <c r="D538" s="495"/>
      <c r="E538" s="495"/>
      <c r="F538" s="495"/>
      <c r="G538" s="495"/>
      <c r="H538" s="495"/>
    </row>
    <row r="539" spans="1:8" s="63" customFormat="1" ht="16"/>
    <row r="540" spans="1:8" s="63" customFormat="1" ht="16">
      <c r="A540" s="63" t="s">
        <v>1321</v>
      </c>
    </row>
    <row r="541" spans="1:8" s="63" customFormat="1" ht="16"/>
    <row r="542" spans="1:8" s="63" customFormat="1" ht="16">
      <c r="A542" s="530" t="s">
        <v>1322</v>
      </c>
      <c r="B542" s="530" t="s">
        <v>935</v>
      </c>
      <c r="C542" s="530" t="s">
        <v>936</v>
      </c>
      <c r="D542" s="530" t="s">
        <v>2102</v>
      </c>
      <c r="E542" s="530" t="s">
        <v>1323</v>
      </c>
    </row>
    <row r="543" spans="1:8" s="63" customFormat="1" ht="16">
      <c r="A543" s="530" t="s">
        <v>226</v>
      </c>
      <c r="B543" s="529">
        <v>500000</v>
      </c>
      <c r="C543" s="529">
        <f>B543*75%/50*6</f>
        <v>45000</v>
      </c>
      <c r="D543" s="529">
        <f>B543-C543</f>
        <v>455000</v>
      </c>
      <c r="E543" s="530" t="s">
        <v>455</v>
      </c>
    </row>
    <row r="544" spans="1:8" s="63" customFormat="1" ht="16">
      <c r="A544" s="530" t="s">
        <v>1326</v>
      </c>
      <c r="B544" s="529">
        <v>800000</v>
      </c>
      <c r="C544" s="529" t="s">
        <v>726</v>
      </c>
      <c r="D544" s="529" t="s">
        <v>726</v>
      </c>
      <c r="E544" s="530" t="s">
        <v>460</v>
      </c>
    </row>
    <row r="545" spans="1:5" s="63" customFormat="1" ht="16">
      <c r="A545" s="530" t="s">
        <v>1325</v>
      </c>
      <c r="B545" s="529">
        <v>400000</v>
      </c>
      <c r="C545" s="529" t="s">
        <v>726</v>
      </c>
      <c r="D545" s="529" t="s">
        <v>726</v>
      </c>
      <c r="E545" s="530" t="s">
        <v>1334</v>
      </c>
    </row>
    <row r="546" spans="1:5" s="63" customFormat="1" ht="16"/>
    <row r="547" spans="1:5" s="63" customFormat="1" ht="16">
      <c r="A547" s="5" t="s">
        <v>1324</v>
      </c>
    </row>
    <row r="548" spans="1:5" s="63" customFormat="1" ht="16">
      <c r="A548" s="63" t="s">
        <v>1341</v>
      </c>
    </row>
    <row r="549" spans="1:5" s="63" customFormat="1" ht="16">
      <c r="A549" s="63" t="s">
        <v>1357</v>
      </c>
    </row>
    <row r="550" spans="1:5" s="63" customFormat="1" ht="16">
      <c r="A550" s="63" t="s">
        <v>1358</v>
      </c>
    </row>
    <row r="551" spans="1:5" s="63" customFormat="1" ht="16">
      <c r="A551" s="63" t="s">
        <v>1369</v>
      </c>
    </row>
    <row r="552" spans="1:5" s="63" customFormat="1" ht="16">
      <c r="A552" s="63" t="s">
        <v>1410</v>
      </c>
    </row>
    <row r="553" spans="1:5" s="63" customFormat="1" ht="16">
      <c r="A553" s="63" t="s">
        <v>1327</v>
      </c>
    </row>
    <row r="554" spans="1:5" s="63" customFormat="1" ht="16">
      <c r="A554" s="63" t="s">
        <v>1328</v>
      </c>
    </row>
    <row r="555" spans="1:5" s="63" customFormat="1" ht="16">
      <c r="A555" s="63" t="s">
        <v>1329</v>
      </c>
    </row>
    <row r="556" spans="1:5" s="63" customFormat="1" ht="16"/>
    <row r="557" spans="1:5" s="63" customFormat="1" ht="16">
      <c r="A557" s="5" t="s">
        <v>989</v>
      </c>
    </row>
    <row r="558" spans="1:5" s="63" customFormat="1" ht="16">
      <c r="A558" s="63" t="s">
        <v>1289</v>
      </c>
    </row>
    <row r="559" spans="1:5" s="63" customFormat="1" ht="16">
      <c r="A559" s="63" t="s">
        <v>1330</v>
      </c>
    </row>
    <row r="560" spans="1:5" s="63" customFormat="1" ht="16">
      <c r="A560" s="63" t="s">
        <v>1384</v>
      </c>
    </row>
    <row r="561" spans="1:2" s="63" customFormat="1" ht="16">
      <c r="A561" s="63" t="s">
        <v>1331</v>
      </c>
    </row>
    <row r="562" spans="1:2" s="63" customFormat="1" ht="16">
      <c r="A562" s="63" t="s">
        <v>1332</v>
      </c>
    </row>
    <row r="563" spans="1:2" s="63" customFormat="1" ht="16"/>
    <row r="564" spans="1:2" s="63" customFormat="1" ht="16">
      <c r="A564" s="63" t="s">
        <v>1333</v>
      </c>
    </row>
    <row r="565" spans="1:2" s="63" customFormat="1" ht="16"/>
    <row r="566" spans="1:2" s="63" customFormat="1" ht="16"/>
    <row r="567" spans="1:2" s="63" customFormat="1" ht="16">
      <c r="A567" s="5" t="s">
        <v>1289</v>
      </c>
    </row>
    <row r="568" spans="1:2" s="63" customFormat="1" ht="16">
      <c r="A568" s="63" t="s">
        <v>1336</v>
      </c>
    </row>
    <row r="569" spans="1:2" s="63" customFormat="1" ht="16">
      <c r="A569" s="63" t="s">
        <v>1337</v>
      </c>
    </row>
    <row r="570" spans="1:2" s="63" customFormat="1" ht="16">
      <c r="A570" s="63" t="s">
        <v>1338</v>
      </c>
    </row>
    <row r="571" spans="1:2" s="63" customFormat="1" ht="16">
      <c r="A571" s="63" t="s">
        <v>1339</v>
      </c>
    </row>
    <row r="572" spans="1:2" s="63" customFormat="1" ht="16">
      <c r="A572" s="63" t="s">
        <v>1340</v>
      </c>
    </row>
    <row r="573" spans="1:2" s="63" customFormat="1" ht="16"/>
    <row r="574" spans="1:2" s="63" customFormat="1" ht="16"/>
    <row r="575" spans="1:2" s="63" customFormat="1" ht="16">
      <c r="A575" s="63" t="s">
        <v>1342</v>
      </c>
    </row>
    <row r="576" spans="1:2" s="63" customFormat="1" ht="16">
      <c r="A576" s="531"/>
      <c r="B576" s="63" t="s">
        <v>1343</v>
      </c>
    </row>
    <row r="577" spans="1:2" s="63" customFormat="1" ht="16">
      <c r="B577" s="63" t="s">
        <v>1344</v>
      </c>
    </row>
    <row r="578" spans="1:2" s="63" customFormat="1" ht="16">
      <c r="B578" s="63" t="s">
        <v>1345</v>
      </c>
    </row>
    <row r="579" spans="1:2" s="63" customFormat="1" ht="16">
      <c r="B579" s="63" t="s">
        <v>1346</v>
      </c>
    </row>
    <row r="580" spans="1:2" s="63" customFormat="1" ht="16"/>
    <row r="581" spans="1:2" s="63" customFormat="1" ht="16">
      <c r="A581" s="63" t="s">
        <v>1347</v>
      </c>
    </row>
    <row r="582" spans="1:2" s="63" customFormat="1" ht="16"/>
    <row r="583" spans="1:2" s="63" customFormat="1" ht="16"/>
    <row r="584" spans="1:2" s="63" customFormat="1" ht="16"/>
    <row r="585" spans="1:2" s="63" customFormat="1" ht="16">
      <c r="A585" s="63" t="s">
        <v>1348</v>
      </c>
    </row>
    <row r="586" spans="1:2" s="63" customFormat="1" ht="16"/>
    <row r="587" spans="1:2" s="63" customFormat="1" ht="16">
      <c r="A587" s="5" t="s">
        <v>1349</v>
      </c>
    </row>
    <row r="588" spans="1:2" s="63" customFormat="1" ht="16"/>
    <row r="589" spans="1:2" s="63" customFormat="1" ht="16">
      <c r="A589" s="5" t="s">
        <v>1350</v>
      </c>
    </row>
    <row r="590" spans="1:2" s="63" customFormat="1" ht="16">
      <c r="A590" s="63" t="s">
        <v>1351</v>
      </c>
    </row>
    <row r="591" spans="1:2" s="63" customFormat="1" ht="16">
      <c r="A591" s="63" t="s">
        <v>1352</v>
      </c>
    </row>
    <row r="592" spans="1:2" s="63" customFormat="1" ht="16"/>
    <row r="593" spans="1:1" s="63" customFormat="1" ht="16">
      <c r="A593" s="5" t="s">
        <v>1353</v>
      </c>
    </row>
    <row r="594" spans="1:1" s="63" customFormat="1" ht="16">
      <c r="A594" s="63" t="s">
        <v>1354</v>
      </c>
    </row>
    <row r="595" spans="1:1" s="63" customFormat="1" ht="16">
      <c r="A595" s="63" t="s">
        <v>1355</v>
      </c>
    </row>
    <row r="596" spans="1:1" s="63" customFormat="1" ht="16">
      <c r="A596" s="63" t="s">
        <v>1356</v>
      </c>
    </row>
    <row r="597" spans="1:1" s="63" customFormat="1" ht="16"/>
    <row r="598" spans="1:1" s="63" customFormat="1" ht="16"/>
    <row r="599" spans="1:1" s="63" customFormat="1" ht="16"/>
    <row r="600" spans="1:1" s="63" customFormat="1" ht="16"/>
    <row r="601" spans="1:1" s="63" customFormat="1" ht="16"/>
    <row r="602" spans="1:1" s="63" customFormat="1" ht="16"/>
    <row r="603" spans="1:1" s="63" customFormat="1" ht="16">
      <c r="A603" s="5" t="s">
        <v>1359</v>
      </c>
    </row>
    <row r="604" spans="1:1" s="63" customFormat="1" ht="16">
      <c r="A604" s="63" t="s">
        <v>1360</v>
      </c>
    </row>
    <row r="605" spans="1:1" s="63" customFormat="1" ht="16">
      <c r="A605" s="63" t="s">
        <v>1361</v>
      </c>
    </row>
    <row r="606" spans="1:1" s="63" customFormat="1" ht="16">
      <c r="A606" s="63" t="s">
        <v>1362</v>
      </c>
    </row>
    <row r="607" spans="1:1" s="63" customFormat="1" ht="16">
      <c r="A607" s="63" t="s">
        <v>1363</v>
      </c>
    </row>
    <row r="608" spans="1:1" s="63" customFormat="1" ht="16">
      <c r="A608" s="63" t="s">
        <v>1364</v>
      </c>
    </row>
    <row r="609" spans="1:4" s="63" customFormat="1" ht="16">
      <c r="A609" s="63" t="s">
        <v>1365</v>
      </c>
    </row>
    <row r="610" spans="1:4" s="63" customFormat="1" ht="16"/>
    <row r="611" spans="1:4" s="63" customFormat="1" ht="16">
      <c r="A611" s="532" t="s">
        <v>1366</v>
      </c>
    </row>
    <row r="612" spans="1:4" s="63" customFormat="1" ht="16">
      <c r="A612" s="63" t="s">
        <v>1367</v>
      </c>
      <c r="D612" s="64">
        <v>800000</v>
      </c>
    </row>
    <row r="613" spans="1:4" s="63" customFormat="1" ht="16">
      <c r="A613" s="63" t="s">
        <v>1368</v>
      </c>
      <c r="D613" s="64">
        <f>D612/4</f>
        <v>200000</v>
      </c>
    </row>
    <row r="614" spans="1:4" s="63" customFormat="1" ht="16"/>
    <row r="615" spans="1:4" s="63" customFormat="1" ht="16">
      <c r="A615" s="63" t="s">
        <v>1370</v>
      </c>
    </row>
    <row r="616" spans="1:4" s="63" customFormat="1" ht="16">
      <c r="A616" s="63" t="s">
        <v>1371</v>
      </c>
    </row>
    <row r="617" spans="1:4" s="63" customFormat="1" ht="16"/>
    <row r="618" spans="1:4" s="63" customFormat="1" ht="16"/>
    <row r="619" spans="1:4" s="63" customFormat="1" ht="16">
      <c r="A619" s="63" t="s">
        <v>1372</v>
      </c>
    </row>
    <row r="620" spans="1:4" s="63" customFormat="1" ht="16">
      <c r="A620" s="63">
        <v>2018</v>
      </c>
      <c r="B620" s="63">
        <v>7</v>
      </c>
      <c r="C620" s="63" t="s">
        <v>1373</v>
      </c>
    </row>
    <row r="621" spans="1:4" s="63" customFormat="1" ht="16">
      <c r="A621" s="63">
        <v>2019</v>
      </c>
      <c r="B621" s="63">
        <v>6</v>
      </c>
      <c r="C621" s="63" t="s">
        <v>1319</v>
      </c>
    </row>
    <row r="622" spans="1:4" s="63" customFormat="1" ht="16">
      <c r="A622" s="63">
        <v>2020</v>
      </c>
      <c r="B622" s="63">
        <v>5</v>
      </c>
      <c r="C622" s="63" t="s">
        <v>1320</v>
      </c>
    </row>
    <row r="623" spans="1:4" s="63" customFormat="1" ht="16">
      <c r="A623" s="63">
        <v>2021</v>
      </c>
      <c r="B623" s="63">
        <v>4</v>
      </c>
      <c r="C623" s="63" t="s">
        <v>1374</v>
      </c>
    </row>
    <row r="624" spans="1:4" s="63" customFormat="1" ht="16">
      <c r="A624" s="63">
        <v>2022</v>
      </c>
      <c r="B624" s="63">
        <v>3</v>
      </c>
      <c r="C624" s="63" t="s">
        <v>1375</v>
      </c>
    </row>
    <row r="625" spans="1:3" s="63" customFormat="1" ht="16">
      <c r="A625" s="504">
        <v>2023</v>
      </c>
      <c r="B625" s="504">
        <v>2</v>
      </c>
      <c r="C625" s="504" t="s">
        <v>1376</v>
      </c>
    </row>
    <row r="626" spans="1:3" s="63" customFormat="1" ht="16">
      <c r="A626" s="63">
        <v>2024</v>
      </c>
      <c r="B626" s="63">
        <v>1</v>
      </c>
      <c r="C626" s="63" t="s">
        <v>1377</v>
      </c>
    </row>
    <row r="627" spans="1:3" s="63" customFormat="1" ht="16"/>
    <row r="628" spans="1:3" s="63" customFormat="1" ht="16">
      <c r="A628" s="63" t="s">
        <v>1378</v>
      </c>
    </row>
    <row r="629" spans="1:3" s="63" customFormat="1" ht="16">
      <c r="A629" s="63" t="s">
        <v>1379</v>
      </c>
    </row>
    <row r="630" spans="1:3" s="63" customFormat="1" ht="16"/>
    <row r="631" spans="1:3" s="63" customFormat="1" ht="16"/>
    <row r="632" spans="1:3" s="63" customFormat="1" ht="16"/>
    <row r="633" spans="1:3" s="63" customFormat="1" ht="16"/>
    <row r="634" spans="1:3" s="63" customFormat="1" ht="16"/>
    <row r="635" spans="1:3" s="63" customFormat="1" ht="16">
      <c r="A635" s="532" t="s">
        <v>1380</v>
      </c>
    </row>
    <row r="636" spans="1:3" s="63" customFormat="1" ht="16">
      <c r="A636" s="63" t="s">
        <v>1381</v>
      </c>
    </row>
    <row r="637" spans="1:3" s="63" customFormat="1" ht="16">
      <c r="A637" s="63" t="s">
        <v>1382</v>
      </c>
    </row>
    <row r="638" spans="1:3" s="63" customFormat="1" ht="16"/>
    <row r="639" spans="1:3" s="63" customFormat="1" ht="16"/>
    <row r="640" spans="1:3" s="63" customFormat="1" ht="16"/>
    <row r="641" spans="1:7" s="63" customFormat="1" ht="16">
      <c r="A641" s="63" t="s">
        <v>1383</v>
      </c>
    </row>
    <row r="642" spans="1:7" s="63" customFormat="1" ht="16"/>
    <row r="643" spans="1:7" s="63" customFormat="1" ht="16"/>
    <row r="644" spans="1:7" s="63" customFormat="1" ht="16">
      <c r="A644" s="5" t="s">
        <v>1404</v>
      </c>
    </row>
    <row r="645" spans="1:7" s="63" customFormat="1" ht="16">
      <c r="A645" s="63" t="s">
        <v>1405</v>
      </c>
    </row>
    <row r="646" spans="1:7" s="63" customFormat="1" ht="16">
      <c r="A646" s="63" t="s">
        <v>1406</v>
      </c>
    </row>
    <row r="647" spans="1:7" s="63" customFormat="1" ht="16">
      <c r="A647" s="63" t="s">
        <v>1407</v>
      </c>
    </row>
    <row r="648" spans="1:7" s="63" customFormat="1" ht="16">
      <c r="A648" s="63" t="s">
        <v>1408</v>
      </c>
    </row>
    <row r="649" spans="1:7" s="63" customFormat="1" ht="16"/>
    <row r="650" spans="1:7" s="63" customFormat="1" ht="16">
      <c r="A650" s="63" t="s">
        <v>1411</v>
      </c>
    </row>
    <row r="651" spans="1:7" s="63" customFormat="1" ht="16">
      <c r="B651" s="535" t="s">
        <v>1409</v>
      </c>
    </row>
    <row r="652" spans="1:7" s="63" customFormat="1" ht="16">
      <c r="A652" s="63" t="s">
        <v>935</v>
      </c>
      <c r="B652" s="64">
        <v>400000</v>
      </c>
      <c r="G652" s="63" t="s">
        <v>2103</v>
      </c>
    </row>
    <row r="653" spans="1:7" s="63" customFormat="1" ht="16">
      <c r="A653" s="63" t="s">
        <v>936</v>
      </c>
      <c r="B653" s="64">
        <f>(400000-35000)/8*2.25</f>
        <v>102656.25</v>
      </c>
      <c r="G653" s="63" t="s">
        <v>2104</v>
      </c>
    </row>
    <row r="654" spans="1:7" s="63" customFormat="1" ht="16">
      <c r="A654" s="63" t="s">
        <v>1252</v>
      </c>
      <c r="B654" s="536">
        <f>B652-B653</f>
        <v>297343.75</v>
      </c>
    </row>
    <row r="655" spans="1:7" s="63" customFormat="1" ht="16"/>
    <row r="656" spans="1:7" s="63" customFormat="1" ht="16">
      <c r="A656" s="63" t="s">
        <v>1412</v>
      </c>
    </row>
    <row r="657" spans="1:7" s="63" customFormat="1" ht="16"/>
    <row r="658" spans="1:7" s="63" customFormat="1" ht="16"/>
    <row r="659" spans="1:7" s="63" customFormat="1" ht="16">
      <c r="B659" s="64"/>
    </row>
    <row r="660" spans="1:7" s="63" customFormat="1" ht="16">
      <c r="A660" s="63" t="s">
        <v>1413</v>
      </c>
    </row>
    <row r="661" spans="1:7" s="63" customFormat="1" ht="16">
      <c r="A661" s="63" t="s">
        <v>1414</v>
      </c>
    </row>
    <row r="662" spans="1:7" s="63" customFormat="1" ht="16">
      <c r="A662" s="63" t="s">
        <v>1415</v>
      </c>
    </row>
    <row r="663" spans="1:7" s="63" customFormat="1" ht="16"/>
    <row r="664" spans="1:7" s="63" customFormat="1" ht="16">
      <c r="A664" s="5" t="s">
        <v>1416</v>
      </c>
    </row>
    <row r="665" spans="1:7" s="63" customFormat="1" ht="16"/>
    <row r="666" spans="1:7" s="63" customFormat="1" ht="16">
      <c r="B666" s="712"/>
      <c r="C666" s="713"/>
      <c r="D666" s="188" t="s">
        <v>226</v>
      </c>
      <c r="E666" s="188" t="s">
        <v>546</v>
      </c>
      <c r="F666" s="188" t="s">
        <v>1325</v>
      </c>
      <c r="G666" s="188" t="s">
        <v>436</v>
      </c>
    </row>
    <row r="667" spans="1:7" s="63" customFormat="1" ht="16">
      <c r="B667" s="711" t="s">
        <v>1417</v>
      </c>
      <c r="C667" s="711"/>
      <c r="D667" s="187">
        <v>7500</v>
      </c>
      <c r="E667" s="187">
        <v>39464</v>
      </c>
      <c r="F667" s="187">
        <v>90781</v>
      </c>
      <c r="G667" s="187">
        <f>SUM(D667:F667)</f>
        <v>137745</v>
      </c>
    </row>
    <row r="668" spans="1:7" s="63" customFormat="1" ht="16"/>
    <row r="669" spans="1:7" s="63" customFormat="1" ht="16">
      <c r="A669" s="5" t="s">
        <v>1384</v>
      </c>
    </row>
    <row r="670" spans="1:7" s="63" customFormat="1" ht="16">
      <c r="A670" s="63" t="s">
        <v>1385</v>
      </c>
    </row>
    <row r="671" spans="1:7" s="63" customFormat="1" ht="16">
      <c r="A671" s="63" t="s">
        <v>1386</v>
      </c>
    </row>
    <row r="672" spans="1:7" s="63" customFormat="1" ht="16">
      <c r="A672" s="63" t="s">
        <v>1387</v>
      </c>
    </row>
    <row r="673" spans="1:6" s="63" customFormat="1" ht="16"/>
    <row r="674" spans="1:6" s="63" customFormat="1" ht="16">
      <c r="A674" s="63" t="s">
        <v>1388</v>
      </c>
      <c r="F674" s="63" t="s">
        <v>2105</v>
      </c>
    </row>
    <row r="675" spans="1:6" s="63" customFormat="1" ht="16">
      <c r="F675" s="63" t="s">
        <v>2106</v>
      </c>
    </row>
    <row r="676" spans="1:6" s="63" customFormat="1" ht="16">
      <c r="A676" s="63" t="s">
        <v>1390</v>
      </c>
      <c r="F676" s="63" t="s">
        <v>2107</v>
      </c>
    </row>
    <row r="677" spans="1:6" s="63" customFormat="1" ht="16">
      <c r="A677" s="63" t="s">
        <v>1389</v>
      </c>
      <c r="F677" s="63" t="s">
        <v>2108</v>
      </c>
    </row>
    <row r="678" spans="1:6" s="63" customFormat="1" ht="16">
      <c r="F678" s="63" t="s">
        <v>2109</v>
      </c>
    </row>
    <row r="679" spans="1:6" s="63" customFormat="1" ht="16">
      <c r="F679" s="63" t="s">
        <v>2110</v>
      </c>
    </row>
    <row r="680" spans="1:6" s="63" customFormat="1" ht="16">
      <c r="F680" s="63" t="s">
        <v>2111</v>
      </c>
    </row>
    <row r="681" spans="1:6" s="63" customFormat="1" ht="16">
      <c r="A681" s="63">
        <v>2018</v>
      </c>
      <c r="B681" s="63">
        <v>7</v>
      </c>
      <c r="C681" s="63" t="s">
        <v>1318</v>
      </c>
      <c r="F681" s="63" t="s">
        <v>2112</v>
      </c>
    </row>
    <row r="682" spans="1:6" s="63" customFormat="1" ht="16">
      <c r="A682" s="63">
        <v>2019</v>
      </c>
      <c r="B682" s="63">
        <v>6</v>
      </c>
      <c r="C682" s="63" t="s">
        <v>1319</v>
      </c>
    </row>
    <row r="683" spans="1:6" s="63" customFormat="1" ht="16">
      <c r="A683" s="63">
        <v>2020</v>
      </c>
      <c r="B683" s="63">
        <v>5</v>
      </c>
    </row>
    <row r="684" spans="1:6" s="63" customFormat="1" ht="16">
      <c r="A684" s="63">
        <v>2021</v>
      </c>
      <c r="B684" s="63">
        <v>4</v>
      </c>
    </row>
    <row r="685" spans="1:6" s="63" customFormat="1" ht="16">
      <c r="A685" s="63">
        <v>2022</v>
      </c>
      <c r="B685" s="63">
        <v>3</v>
      </c>
    </row>
    <row r="686" spans="1:6" s="63" customFormat="1" ht="16">
      <c r="A686" s="63">
        <v>2023</v>
      </c>
      <c r="B686" s="63">
        <v>2</v>
      </c>
      <c r="C686" s="63" t="s">
        <v>1391</v>
      </c>
    </row>
    <row r="687" spans="1:6" s="63" customFormat="1" ht="16"/>
    <row r="688" spans="1:6" s="63" customFormat="1" ht="16"/>
    <row r="689" spans="1:7" s="63" customFormat="1" ht="16"/>
    <row r="690" spans="1:7" s="63" customFormat="1" ht="16"/>
    <row r="691" spans="1:7" s="63" customFormat="1" ht="16">
      <c r="E691" s="63" t="s">
        <v>2113</v>
      </c>
    </row>
    <row r="692" spans="1:7" s="63" customFormat="1" ht="16">
      <c r="B692" s="63" t="s">
        <v>2115</v>
      </c>
      <c r="E692" s="63" t="s">
        <v>2114</v>
      </c>
    </row>
    <row r="693" spans="1:7" s="63" customFormat="1" ht="16">
      <c r="B693" s="63" t="s">
        <v>2116</v>
      </c>
    </row>
    <row r="694" spans="1:7" s="63" customFormat="1" ht="16">
      <c r="B694" s="63" t="s">
        <v>2117</v>
      </c>
    </row>
    <row r="695" spans="1:7" s="63" customFormat="1" ht="16">
      <c r="B695" s="63" t="s">
        <v>2118</v>
      </c>
    </row>
    <row r="696" spans="1:7" s="63" customFormat="1" ht="16">
      <c r="B696" s="63" t="s">
        <v>2119</v>
      </c>
    </row>
    <row r="697" spans="1:7" s="63" customFormat="1" ht="16">
      <c r="B697" s="63" t="s">
        <v>2120</v>
      </c>
      <c r="G697" s="63" t="s">
        <v>2121</v>
      </c>
    </row>
    <row r="698" spans="1:7" s="63" customFormat="1" ht="16"/>
    <row r="699" spans="1:7" s="63" customFormat="1" ht="16"/>
    <row r="700" spans="1:7" s="63" customFormat="1" ht="16">
      <c r="A700" s="63" t="s">
        <v>1392</v>
      </c>
    </row>
    <row r="701" spans="1:7" s="63" customFormat="1" ht="16"/>
    <row r="702" spans="1:7" s="63" customFormat="1" ht="16">
      <c r="A702" s="63" t="s">
        <v>935</v>
      </c>
      <c r="B702" s="64">
        <v>600000</v>
      </c>
      <c r="C702" s="63" t="s">
        <v>1393</v>
      </c>
    </row>
    <row r="703" spans="1:7" s="63" customFormat="1" ht="16">
      <c r="A703" s="63" t="s">
        <v>936</v>
      </c>
      <c r="B703" s="64">
        <v>482679</v>
      </c>
      <c r="C703" s="63" t="s">
        <v>1394</v>
      </c>
    </row>
    <row r="704" spans="1:7" s="63" customFormat="1" ht="16">
      <c r="A704" s="63" t="s">
        <v>1252</v>
      </c>
      <c r="B704" s="64">
        <f>B702-B703</f>
        <v>117321</v>
      </c>
      <c r="D704" s="63" t="s">
        <v>1395</v>
      </c>
    </row>
    <row r="705" spans="1:6" s="63" customFormat="1" ht="16"/>
    <row r="706" spans="1:6" s="63" customFormat="1" ht="16">
      <c r="A706" s="63" t="s">
        <v>1396</v>
      </c>
    </row>
    <row r="707" spans="1:6" s="63" customFormat="1" ht="16">
      <c r="A707" s="63" t="s">
        <v>1397</v>
      </c>
      <c r="B707" s="64">
        <v>440000</v>
      </c>
      <c r="C707" s="63" t="s">
        <v>2041</v>
      </c>
    </row>
    <row r="708" spans="1:6" s="63" customFormat="1" ht="16">
      <c r="A708" s="63" t="s">
        <v>1252</v>
      </c>
      <c r="B708" s="64">
        <f>B704</f>
        <v>117321</v>
      </c>
    </row>
    <row r="709" spans="1:6" s="63" customFormat="1" ht="16">
      <c r="A709" s="63" t="s">
        <v>1398</v>
      </c>
      <c r="B709" s="533">
        <f>B707-B708</f>
        <v>322679</v>
      </c>
      <c r="D709" s="63" t="s">
        <v>1399</v>
      </c>
      <c r="E709" s="63" t="s">
        <v>2122</v>
      </c>
    </row>
    <row r="710" spans="1:6" s="63" customFormat="1" ht="16"/>
    <row r="711" spans="1:6" s="63" customFormat="1" ht="16"/>
    <row r="712" spans="1:6" s="63" customFormat="1" ht="16"/>
    <row r="713" spans="1:6" s="63" customFormat="1" ht="16">
      <c r="A713" s="5" t="s">
        <v>1331</v>
      </c>
    </row>
    <row r="714" spans="1:6" s="63" customFormat="1" ht="16">
      <c r="A714" s="5" t="s">
        <v>1332</v>
      </c>
    </row>
    <row r="715" spans="1:6" s="63" customFormat="1" ht="16"/>
    <row r="716" spans="1:6" s="63" customFormat="1" ht="16">
      <c r="A716" s="534" t="s">
        <v>1127</v>
      </c>
      <c r="B716" s="534"/>
      <c r="C716" s="534" t="s">
        <v>226</v>
      </c>
      <c r="D716" s="534" t="s">
        <v>546</v>
      </c>
      <c r="E716" s="534" t="s">
        <v>1325</v>
      </c>
      <c r="F716" s="534" t="s">
        <v>436</v>
      </c>
    </row>
    <row r="717" spans="1:6" s="63" customFormat="1" ht="16">
      <c r="A717" s="63" t="s">
        <v>935</v>
      </c>
      <c r="C717" s="64">
        <f>B543</f>
        <v>500000</v>
      </c>
      <c r="D717" s="64">
        <f>200000</f>
        <v>200000</v>
      </c>
      <c r="E717" s="64">
        <f>B545</f>
        <v>400000</v>
      </c>
      <c r="F717" s="64">
        <f>SUM(C717:E717)</f>
        <v>1100000</v>
      </c>
    </row>
    <row r="718" spans="1:6" s="63" customFormat="1" ht="16">
      <c r="A718" s="63" t="s">
        <v>936</v>
      </c>
      <c r="C718" s="64">
        <v>52500</v>
      </c>
      <c r="D718" s="64">
        <v>163929</v>
      </c>
      <c r="E718" s="64">
        <v>194437</v>
      </c>
      <c r="F718" s="64">
        <f>SUM(C718:E718)</f>
        <v>410866</v>
      </c>
    </row>
    <row r="719" spans="1:6" s="63" customFormat="1" ht="16">
      <c r="A719" s="63" t="s">
        <v>1252</v>
      </c>
      <c r="C719" s="501">
        <f>SUM(C717:C718)</f>
        <v>552500</v>
      </c>
      <c r="D719" s="501">
        <f>SUM(D717:D718)</f>
        <v>363929</v>
      </c>
      <c r="E719" s="501">
        <f>SUM(E717:E718)</f>
        <v>594437</v>
      </c>
      <c r="F719" s="501">
        <f>SUM(F717:F718)</f>
        <v>1510866</v>
      </c>
    </row>
    <row r="720" spans="1:6" s="63" customFormat="1" ht="16"/>
    <row r="721" spans="1:7" s="63" customFormat="1" ht="16">
      <c r="A721" s="63" t="s">
        <v>1400</v>
      </c>
    </row>
    <row r="722" spans="1:7" s="63" customFormat="1" ht="16">
      <c r="A722" s="63" t="s">
        <v>1401</v>
      </c>
    </row>
    <row r="723" spans="1:7" s="63" customFormat="1" ht="16">
      <c r="A723" s="63" t="s">
        <v>1402</v>
      </c>
    </row>
    <row r="724" spans="1:7" s="63" customFormat="1" ht="16">
      <c r="A724" s="63" t="s">
        <v>1403</v>
      </c>
    </row>
    <row r="725" spans="1:7" s="63" customFormat="1" ht="16">
      <c r="F725" s="64">
        <v>200000</v>
      </c>
    </row>
    <row r="726" spans="1:7" s="63" customFormat="1" ht="16"/>
    <row r="727" spans="1:7" s="63" customFormat="1" ht="16">
      <c r="A727" s="63" t="s">
        <v>1418</v>
      </c>
    </row>
    <row r="728" spans="1:7" s="63" customFormat="1" ht="16">
      <c r="A728" s="63" t="s">
        <v>1419</v>
      </c>
      <c r="G728" s="63" t="s">
        <v>2123</v>
      </c>
    </row>
    <row r="729" spans="1:7" s="63" customFormat="1" ht="16">
      <c r="G729" s="63" t="s">
        <v>2124</v>
      </c>
    </row>
    <row r="730" spans="1:7" s="63" customFormat="1" ht="16">
      <c r="G730" s="63" t="s">
        <v>2125</v>
      </c>
    </row>
    <row r="731" spans="1:7" s="63" customFormat="1" ht="16"/>
    <row r="732" spans="1:7" s="63" customFormat="1" ht="16">
      <c r="A732" s="63" t="s">
        <v>1420</v>
      </c>
      <c r="G732" s="63" t="s">
        <v>2126</v>
      </c>
    </row>
    <row r="733" spans="1:7" s="63" customFormat="1" ht="16">
      <c r="G733" s="63" t="s">
        <v>2127</v>
      </c>
    </row>
    <row r="734" spans="1:7" s="63" customFormat="1" ht="16">
      <c r="G734" s="63" t="s">
        <v>2128</v>
      </c>
    </row>
    <row r="735" spans="1:7" s="63" customFormat="1" ht="16">
      <c r="G735" s="63" t="s">
        <v>2129</v>
      </c>
    </row>
    <row r="736" spans="1:7" s="63" customFormat="1" ht="16">
      <c r="A736" s="63" t="s">
        <v>1421</v>
      </c>
    </row>
    <row r="737" spans="1:4" s="63" customFormat="1" ht="16">
      <c r="A737" s="63" t="s">
        <v>1422</v>
      </c>
    </row>
    <row r="738" spans="1:4" s="63" customFormat="1" ht="16">
      <c r="A738" s="63" t="s">
        <v>1423</v>
      </c>
    </row>
    <row r="739" spans="1:4" s="63" customFormat="1" ht="16"/>
    <row r="740" spans="1:4" s="63" customFormat="1" ht="16">
      <c r="A740" s="63" t="s">
        <v>1424</v>
      </c>
    </row>
    <row r="741" spans="1:4" s="63" customFormat="1" ht="16">
      <c r="A741" s="63" t="s">
        <v>1425</v>
      </c>
    </row>
    <row r="742" spans="1:4" s="63" customFormat="1" ht="16">
      <c r="A742" s="63" t="s">
        <v>1426</v>
      </c>
    </row>
    <row r="743" spans="1:4" s="63" customFormat="1" ht="16">
      <c r="A743" s="63" t="s">
        <v>1427</v>
      </c>
    </row>
    <row r="744" spans="1:4" s="63" customFormat="1" ht="16"/>
    <row r="745" spans="1:4" s="63" customFormat="1" ht="16">
      <c r="A745" s="63" t="s">
        <v>1428</v>
      </c>
      <c r="C745" s="64">
        <f>B653</f>
        <v>102656.25</v>
      </c>
      <c r="D745" s="63" t="s">
        <v>2130</v>
      </c>
    </row>
    <row r="746" spans="1:4" s="63" customFormat="1" ht="16">
      <c r="A746" s="63" t="s">
        <v>1429</v>
      </c>
      <c r="C746" s="64">
        <f>F667</f>
        <v>90781</v>
      </c>
      <c r="D746" s="63" t="s">
        <v>2131</v>
      </c>
    </row>
    <row r="747" spans="1:4" s="63" customFormat="1" ht="16">
      <c r="A747" s="63" t="s">
        <v>1430</v>
      </c>
      <c r="C747" s="538">
        <f>C745+C746</f>
        <v>193437.25</v>
      </c>
    </row>
  </sheetData>
  <mergeCells count="5">
    <mergeCell ref="A1:H1"/>
    <mergeCell ref="C161:F161"/>
    <mergeCell ref="E445:E446"/>
    <mergeCell ref="B667:C667"/>
    <mergeCell ref="B666:C666"/>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97" zoomScale="222" workbookViewId="0">
      <selection activeCell="A2" sqref="A2"/>
    </sheetView>
  </sheetViews>
  <sheetFormatPr baseColWidth="10" defaultRowHeight="16"/>
  <cols>
    <col min="1" max="7" width="10.83203125" style="63"/>
    <col min="8" max="8" width="16" style="63" customWidth="1"/>
    <col min="9" max="16384" width="10.83203125" style="63"/>
  </cols>
  <sheetData>
    <row r="1" spans="1:8">
      <c r="A1" s="707" t="s">
        <v>2132</v>
      </c>
      <c r="B1" s="707"/>
      <c r="C1" s="707"/>
      <c r="D1" s="707"/>
      <c r="E1" s="707"/>
      <c r="F1" s="707"/>
      <c r="G1" s="707"/>
      <c r="H1" s="707"/>
    </row>
    <row r="3" spans="1:8">
      <c r="A3" s="63" t="s">
        <v>1181</v>
      </c>
    </row>
    <row r="4" spans="1:8">
      <c r="A4" s="63" t="s">
        <v>1182</v>
      </c>
    </row>
    <row r="5" spans="1:8">
      <c r="A5" s="63" t="s">
        <v>1183</v>
      </c>
    </row>
    <row r="6" spans="1:8">
      <c r="A6" s="63" t="s">
        <v>1185</v>
      </c>
    </row>
    <row r="8" spans="1:8" s="2" customFormat="1">
      <c r="A8" s="486" t="s">
        <v>1134</v>
      </c>
      <c r="B8" s="486"/>
      <c r="C8" s="486"/>
      <c r="D8" s="486"/>
      <c r="E8" s="486"/>
      <c r="F8" s="486"/>
      <c r="G8" s="486"/>
      <c r="H8" s="486"/>
    </row>
    <row r="9" spans="1:8" s="2" customFormat="1">
      <c r="A9" s="2" t="s">
        <v>1135</v>
      </c>
    </row>
    <row r="10" spans="1:8" s="2" customFormat="1">
      <c r="A10" s="2" t="s">
        <v>1136</v>
      </c>
    </row>
    <row r="11" spans="1:8" s="2" customFormat="1"/>
    <row r="12" spans="1:8" s="2" customFormat="1">
      <c r="A12" s="2" t="s">
        <v>1137</v>
      </c>
    </row>
    <row r="13" spans="1:8" s="2" customFormat="1">
      <c r="A13" s="2" t="s">
        <v>1138</v>
      </c>
    </row>
    <row r="14" spans="1:8" s="2" customFormat="1"/>
    <row r="15" spans="1:8" s="2" customFormat="1">
      <c r="A15" s="2" t="s">
        <v>1126</v>
      </c>
      <c r="B15" s="2" t="s">
        <v>1127</v>
      </c>
      <c r="C15" s="2" t="s">
        <v>1128</v>
      </c>
      <c r="D15" s="2" t="s">
        <v>1129</v>
      </c>
      <c r="E15" s="2" t="s">
        <v>558</v>
      </c>
      <c r="F15" s="2" t="s">
        <v>1130</v>
      </c>
    </row>
    <row r="16" spans="1:8" s="2" customFormat="1">
      <c r="A16" s="89"/>
      <c r="B16" s="89"/>
      <c r="C16" s="89" t="s">
        <v>1131</v>
      </c>
      <c r="D16" s="89" t="s">
        <v>1044</v>
      </c>
      <c r="E16" s="89" t="s">
        <v>1131</v>
      </c>
      <c r="F16" s="89" t="s">
        <v>1044</v>
      </c>
    </row>
    <row r="17" spans="1:6">
      <c r="A17" s="494">
        <v>43101</v>
      </c>
      <c r="B17" s="2" t="s">
        <v>572</v>
      </c>
      <c r="C17" s="58">
        <v>1000</v>
      </c>
      <c r="D17" s="2">
        <v>80</v>
      </c>
      <c r="E17" s="2"/>
      <c r="F17" s="2"/>
    </row>
    <row r="18" spans="1:6">
      <c r="A18" s="494">
        <v>43146</v>
      </c>
      <c r="B18" s="2" t="s">
        <v>1132</v>
      </c>
      <c r="C18" s="58">
        <v>2000</v>
      </c>
      <c r="D18" s="2">
        <v>90</v>
      </c>
      <c r="E18" s="2"/>
      <c r="F18" s="2"/>
    </row>
    <row r="19" spans="1:6">
      <c r="A19" s="494">
        <v>43176</v>
      </c>
      <c r="B19" s="2" t="s">
        <v>1133</v>
      </c>
      <c r="C19" s="2"/>
      <c r="D19" s="2"/>
      <c r="E19" s="2">
        <v>800</v>
      </c>
      <c r="F19" s="2">
        <v>120</v>
      </c>
    </row>
    <row r="20" spans="1:6">
      <c r="A20" s="494">
        <v>43204</v>
      </c>
      <c r="B20" s="2" t="s">
        <v>1132</v>
      </c>
      <c r="C20" s="58">
        <v>2500</v>
      </c>
      <c r="D20" s="2">
        <v>100</v>
      </c>
      <c r="E20" s="2"/>
      <c r="F20" s="2"/>
    </row>
    <row r="21" spans="1:6">
      <c r="A21" s="494">
        <v>43325</v>
      </c>
      <c r="B21" s="2" t="s">
        <v>1132</v>
      </c>
      <c r="C21" s="58">
        <v>3000</v>
      </c>
      <c r="D21" s="2">
        <v>95</v>
      </c>
      <c r="E21" s="2"/>
      <c r="F21" s="2"/>
    </row>
    <row r="22" spans="1:6">
      <c r="A22" s="494">
        <v>43367</v>
      </c>
      <c r="B22" s="2" t="s">
        <v>1133</v>
      </c>
      <c r="C22" s="2"/>
      <c r="D22" s="2"/>
      <c r="E22" s="58">
        <v>3000</v>
      </c>
      <c r="F22" s="2">
        <v>140</v>
      </c>
    </row>
    <row r="23" spans="1:6">
      <c r="A23" s="494">
        <v>43383</v>
      </c>
      <c r="B23" s="2" t="s">
        <v>1132</v>
      </c>
      <c r="C23" s="58">
        <v>4000</v>
      </c>
      <c r="D23" s="2">
        <v>75</v>
      </c>
      <c r="E23" s="2"/>
      <c r="F23" s="2"/>
    </row>
    <row r="24" spans="1:6">
      <c r="A24" s="494">
        <v>43465</v>
      </c>
      <c r="B24" s="2" t="s">
        <v>1133</v>
      </c>
      <c r="C24" s="2"/>
      <c r="D24" s="2"/>
      <c r="E24" s="58">
        <v>3000</v>
      </c>
      <c r="F24" s="2">
        <v>100</v>
      </c>
    </row>
    <row r="26" spans="1:6">
      <c r="A26" s="63" t="s">
        <v>1139</v>
      </c>
    </row>
    <row r="27" spans="1:6">
      <c r="A27" s="63" t="s">
        <v>1140</v>
      </c>
    </row>
    <row r="29" spans="1:6">
      <c r="A29" s="63" t="s">
        <v>989</v>
      </c>
    </row>
    <row r="30" spans="1:6">
      <c r="A30" s="63" t="s">
        <v>1141</v>
      </c>
    </row>
    <row r="31" spans="1:6">
      <c r="A31" s="63" t="s">
        <v>1142</v>
      </c>
    </row>
    <row r="32" spans="1:6">
      <c r="A32" s="63" t="s">
        <v>1143</v>
      </c>
    </row>
    <row r="33" spans="1:8">
      <c r="A33" s="63" t="s">
        <v>1144</v>
      </c>
    </row>
    <row r="34" spans="1:8">
      <c r="A34" s="63" t="s">
        <v>1145</v>
      </c>
    </row>
    <row r="36" spans="1:8">
      <c r="A36" s="63" t="s">
        <v>1108</v>
      </c>
    </row>
    <row r="37" spans="1:8">
      <c r="A37" s="495" t="s">
        <v>1141</v>
      </c>
      <c r="B37" s="495"/>
      <c r="C37" s="495"/>
      <c r="D37" s="495"/>
      <c r="E37" s="495"/>
      <c r="F37" s="495"/>
      <c r="G37" s="495"/>
      <c r="H37" s="495"/>
    </row>
    <row r="39" spans="1:8">
      <c r="A39" s="2" t="s">
        <v>1126</v>
      </c>
      <c r="B39" s="2" t="s">
        <v>1127</v>
      </c>
      <c r="C39" s="34" t="s">
        <v>1128</v>
      </c>
      <c r="D39" s="34" t="s">
        <v>1129</v>
      </c>
      <c r="E39" s="34" t="s">
        <v>558</v>
      </c>
      <c r="F39" s="34" t="s">
        <v>1130</v>
      </c>
    </row>
    <row r="40" spans="1:8">
      <c r="A40" s="89"/>
      <c r="B40" s="89"/>
      <c r="C40" s="90" t="s">
        <v>1131</v>
      </c>
      <c r="D40" s="90" t="s">
        <v>1044</v>
      </c>
      <c r="E40" s="90" t="s">
        <v>1131</v>
      </c>
      <c r="F40" s="90" t="s">
        <v>1044</v>
      </c>
    </row>
    <row r="41" spans="1:8">
      <c r="A41" s="494">
        <v>43101</v>
      </c>
      <c r="B41" s="2" t="s">
        <v>572</v>
      </c>
      <c r="C41" s="49">
        <v>1000</v>
      </c>
      <c r="D41" s="34">
        <v>80</v>
      </c>
      <c r="E41" s="34"/>
      <c r="F41" s="34"/>
    </row>
    <row r="42" spans="1:8">
      <c r="A42" s="494">
        <v>43146</v>
      </c>
      <c r="B42" s="2" t="s">
        <v>1132</v>
      </c>
      <c r="C42" s="49">
        <v>2000</v>
      </c>
      <c r="D42" s="34">
        <v>90</v>
      </c>
      <c r="E42" s="34"/>
      <c r="F42" s="34"/>
    </row>
    <row r="43" spans="1:8">
      <c r="A43" s="494">
        <v>43176</v>
      </c>
      <c r="B43" s="2" t="s">
        <v>1133</v>
      </c>
      <c r="C43" s="34"/>
      <c r="D43" s="34"/>
      <c r="E43" s="34">
        <v>800</v>
      </c>
      <c r="F43" s="34">
        <v>120</v>
      </c>
    </row>
    <row r="44" spans="1:8">
      <c r="A44" s="494">
        <v>43204</v>
      </c>
      <c r="B44" s="2" t="s">
        <v>1132</v>
      </c>
      <c r="C44" s="49">
        <v>2500</v>
      </c>
      <c r="D44" s="34">
        <v>100</v>
      </c>
      <c r="E44" s="34"/>
      <c r="F44" s="34"/>
    </row>
    <row r="45" spans="1:8">
      <c r="A45" s="494">
        <v>43325</v>
      </c>
      <c r="B45" s="2" t="s">
        <v>1132</v>
      </c>
      <c r="C45" s="49">
        <v>3000</v>
      </c>
      <c r="D45" s="34">
        <v>95</v>
      </c>
      <c r="E45" s="34"/>
      <c r="F45" s="34"/>
    </row>
    <row r="46" spans="1:8">
      <c r="A46" s="494">
        <v>43367</v>
      </c>
      <c r="B46" s="2" t="s">
        <v>1133</v>
      </c>
      <c r="C46" s="34"/>
      <c r="D46" s="34"/>
      <c r="E46" s="49">
        <v>3000</v>
      </c>
      <c r="F46" s="34">
        <v>140</v>
      </c>
    </row>
    <row r="47" spans="1:8">
      <c r="A47" s="494">
        <v>43383</v>
      </c>
      <c r="B47" s="2" t="s">
        <v>1132</v>
      </c>
      <c r="C47" s="49">
        <v>4000</v>
      </c>
      <c r="D47" s="34">
        <v>75</v>
      </c>
      <c r="E47" s="34"/>
      <c r="F47" s="34"/>
    </row>
    <row r="48" spans="1:8">
      <c r="A48" s="494">
        <v>43465</v>
      </c>
      <c r="B48" s="2" t="s">
        <v>1133</v>
      </c>
      <c r="C48" s="34"/>
      <c r="D48" s="34"/>
      <c r="E48" s="49">
        <v>3000</v>
      </c>
      <c r="F48" s="34">
        <v>100</v>
      </c>
    </row>
    <row r="49" spans="1:8">
      <c r="B49" s="63" t="s">
        <v>436</v>
      </c>
      <c r="C49" s="497">
        <f>SUM(C41:C48)</f>
        <v>12500</v>
      </c>
      <c r="D49" s="63" t="s">
        <v>436</v>
      </c>
      <c r="E49" s="497">
        <f>SUM(E41:E48)</f>
        <v>6800</v>
      </c>
    </row>
    <row r="50" spans="1:8">
      <c r="C50" s="498" t="s">
        <v>1146</v>
      </c>
      <c r="E50" s="498" t="s">
        <v>1147</v>
      </c>
    </row>
    <row r="51" spans="1:8">
      <c r="C51" s="498" t="s">
        <v>1128</v>
      </c>
      <c r="E51" s="498" t="s">
        <v>1148</v>
      </c>
    </row>
    <row r="53" spans="1:8">
      <c r="A53" s="63" t="s">
        <v>1149</v>
      </c>
    </row>
    <row r="54" spans="1:8">
      <c r="C54" s="496">
        <f>C49-E49</f>
        <v>5700</v>
      </c>
      <c r="E54" s="63" t="s">
        <v>1150</v>
      </c>
    </row>
    <row r="56" spans="1:8">
      <c r="A56" s="63" t="s">
        <v>1151</v>
      </c>
    </row>
    <row r="57" spans="1:8">
      <c r="A57" s="495" t="s">
        <v>1157</v>
      </c>
      <c r="B57" s="495"/>
      <c r="C57" s="499">
        <f>4000*75+1700*95</f>
        <v>461500</v>
      </c>
      <c r="E57" s="63" t="s">
        <v>1152</v>
      </c>
    </row>
    <row r="59" spans="1:8">
      <c r="A59" s="63" t="s">
        <v>1153</v>
      </c>
    </row>
    <row r="60" spans="1:8">
      <c r="A60" s="63" t="s">
        <v>1154</v>
      </c>
    </row>
    <row r="61" spans="1:8">
      <c r="A61" s="63" t="s">
        <v>1155</v>
      </c>
    </row>
    <row r="62" spans="1:8">
      <c r="A62" s="63" t="s">
        <v>1156</v>
      </c>
    </row>
    <row r="64" spans="1:8">
      <c r="A64" s="495" t="s">
        <v>1158</v>
      </c>
      <c r="B64" s="495"/>
      <c r="C64" s="495"/>
      <c r="D64" s="495"/>
      <c r="E64" s="495"/>
      <c r="F64" s="495"/>
      <c r="G64" s="495"/>
      <c r="H64" s="495"/>
    </row>
    <row r="66" spans="1:6">
      <c r="A66" s="2" t="s">
        <v>1126</v>
      </c>
      <c r="B66" s="2" t="s">
        <v>1127</v>
      </c>
      <c r="C66" s="34" t="s">
        <v>1128</v>
      </c>
      <c r="D66" s="34" t="s">
        <v>1129</v>
      </c>
      <c r="E66" s="34" t="s">
        <v>558</v>
      </c>
      <c r="F66" s="34" t="s">
        <v>1130</v>
      </c>
    </row>
    <row r="67" spans="1:6">
      <c r="A67" s="89"/>
      <c r="B67" s="89"/>
      <c r="C67" s="90" t="s">
        <v>1131</v>
      </c>
      <c r="D67" s="90" t="s">
        <v>1044</v>
      </c>
      <c r="E67" s="90" t="s">
        <v>1131</v>
      </c>
      <c r="F67" s="90" t="s">
        <v>1044</v>
      </c>
    </row>
    <row r="68" spans="1:6">
      <c r="A68" s="494">
        <v>43101</v>
      </c>
      <c r="B68" s="2" t="s">
        <v>572</v>
      </c>
      <c r="C68" s="49">
        <v>1000</v>
      </c>
      <c r="D68" s="34">
        <v>80</v>
      </c>
      <c r="E68" s="34"/>
      <c r="F68" s="34"/>
    </row>
    <row r="69" spans="1:6">
      <c r="A69" s="494">
        <v>43146</v>
      </c>
      <c r="B69" s="2" t="s">
        <v>1132</v>
      </c>
      <c r="C69" s="49">
        <v>2000</v>
      </c>
      <c r="D69" s="34">
        <v>90</v>
      </c>
      <c r="E69" s="34"/>
      <c r="F69" s="34"/>
    </row>
    <row r="70" spans="1:6">
      <c r="A70" s="494">
        <v>43176</v>
      </c>
      <c r="B70" s="2" t="s">
        <v>1133</v>
      </c>
      <c r="C70" s="34"/>
      <c r="D70" s="34"/>
      <c r="E70" s="34">
        <v>800</v>
      </c>
      <c r="F70" s="34">
        <v>120</v>
      </c>
    </row>
    <row r="71" spans="1:6">
      <c r="A71" s="494">
        <v>43204</v>
      </c>
      <c r="B71" s="2" t="s">
        <v>1132</v>
      </c>
      <c r="C71" s="49">
        <v>2500</v>
      </c>
      <c r="D71" s="34">
        <v>100</v>
      </c>
      <c r="E71" s="34"/>
      <c r="F71" s="34"/>
    </row>
    <row r="72" spans="1:6">
      <c r="A72" s="494">
        <v>43325</v>
      </c>
      <c r="B72" s="2" t="s">
        <v>1132</v>
      </c>
      <c r="C72" s="49">
        <v>3000</v>
      </c>
      <c r="D72" s="34">
        <v>95</v>
      </c>
      <c r="E72" s="34"/>
      <c r="F72" s="34"/>
    </row>
    <row r="73" spans="1:6">
      <c r="A73" s="494">
        <v>43367</v>
      </c>
      <c r="B73" s="2" t="s">
        <v>1133</v>
      </c>
      <c r="C73" s="34"/>
      <c r="D73" s="34"/>
      <c r="E73" s="49">
        <v>3000</v>
      </c>
      <c r="F73" s="34">
        <v>140</v>
      </c>
    </row>
    <row r="74" spans="1:6">
      <c r="A74" s="494">
        <v>43383</v>
      </c>
      <c r="B74" s="2" t="s">
        <v>1132</v>
      </c>
      <c r="C74" s="49">
        <v>4000</v>
      </c>
      <c r="D74" s="34">
        <v>75</v>
      </c>
      <c r="E74" s="34"/>
      <c r="F74" s="34"/>
    </row>
    <row r="75" spans="1:6">
      <c r="A75" s="494">
        <v>43465</v>
      </c>
      <c r="B75" s="2" t="s">
        <v>1133</v>
      </c>
      <c r="C75" s="34"/>
      <c r="D75" s="34"/>
      <c r="E75" s="49">
        <v>3000</v>
      </c>
      <c r="F75" s="34">
        <v>100</v>
      </c>
    </row>
    <row r="76" spans="1:6">
      <c r="B76" s="63" t="s">
        <v>436</v>
      </c>
      <c r="C76" s="497">
        <f>SUM(C68:C75)</f>
        <v>12500</v>
      </c>
      <c r="D76" s="63" t="s">
        <v>436</v>
      </c>
      <c r="E76" s="497">
        <f>SUM(E68:E75)</f>
        <v>6800</v>
      </c>
    </row>
    <row r="77" spans="1:6">
      <c r="C77" s="498" t="s">
        <v>1146</v>
      </c>
      <c r="E77" s="498" t="s">
        <v>1147</v>
      </c>
    </row>
    <row r="78" spans="1:6">
      <c r="C78" s="498" t="s">
        <v>1128</v>
      </c>
      <c r="E78" s="498" t="s">
        <v>1148</v>
      </c>
    </row>
    <row r="80" spans="1:6">
      <c r="A80" s="63" t="s">
        <v>1149</v>
      </c>
    </row>
    <row r="81" spans="1:8">
      <c r="C81" s="496">
        <f>C76-E76</f>
        <v>5700</v>
      </c>
      <c r="E81" s="63" t="s">
        <v>1150</v>
      </c>
    </row>
    <row r="83" spans="1:8">
      <c r="A83" s="63" t="s">
        <v>1159</v>
      </c>
    </row>
    <row r="84" spans="1:8">
      <c r="B84" s="63" t="s">
        <v>1160</v>
      </c>
      <c r="D84" s="500">
        <f>C68*D68</f>
        <v>80000</v>
      </c>
      <c r="F84" s="63" t="s">
        <v>1163</v>
      </c>
    </row>
    <row r="85" spans="1:8">
      <c r="B85" s="63" t="s">
        <v>1161</v>
      </c>
      <c r="D85" s="500">
        <f>SUMPRODUCT(C69:C75,D69:D75)</f>
        <v>1015000</v>
      </c>
      <c r="H85" s="63" t="s">
        <v>1164</v>
      </c>
    </row>
    <row r="86" spans="1:8">
      <c r="B86" s="63" t="s">
        <v>1162</v>
      </c>
      <c r="D86" s="501">
        <f>D84+D85</f>
        <v>1095000</v>
      </c>
    </row>
    <row r="88" spans="1:8">
      <c r="B88" s="63" t="s">
        <v>1165</v>
      </c>
      <c r="D88" s="64">
        <f>C76</f>
        <v>12500</v>
      </c>
    </row>
    <row r="90" spans="1:8">
      <c r="B90" s="63" t="s">
        <v>1168</v>
      </c>
      <c r="D90" s="502">
        <f>D86/D88</f>
        <v>87.6</v>
      </c>
      <c r="F90" s="63" t="s">
        <v>1166</v>
      </c>
    </row>
    <row r="92" spans="1:8">
      <c r="A92" s="63" t="s">
        <v>1167</v>
      </c>
    </row>
    <row r="94" spans="1:8">
      <c r="A94" s="63" t="s">
        <v>1169</v>
      </c>
    </row>
    <row r="96" spans="1:8">
      <c r="A96" s="63" t="s">
        <v>1170</v>
      </c>
      <c r="D96" s="503">
        <f>D90*C81</f>
        <v>499319.99999999994</v>
      </c>
      <c r="E96" s="500"/>
      <c r="F96" s="500" t="s">
        <v>1171</v>
      </c>
    </row>
    <row r="98" spans="1:8">
      <c r="A98" s="495" t="s">
        <v>1143</v>
      </c>
      <c r="B98" s="495"/>
      <c r="C98" s="495"/>
      <c r="D98" s="495"/>
      <c r="E98" s="495"/>
      <c r="F98" s="495"/>
      <c r="G98" s="495"/>
      <c r="H98" s="495"/>
    </row>
    <row r="99" spans="1:8">
      <c r="A99" s="63" t="s">
        <v>1172</v>
      </c>
    </row>
    <row r="100" spans="1:8">
      <c r="A100" s="63" t="s">
        <v>1140</v>
      </c>
    </row>
    <row r="102" spans="1:8">
      <c r="B102" s="63" t="s">
        <v>1173</v>
      </c>
    </row>
    <row r="103" spans="1:8">
      <c r="B103" s="63" t="s">
        <v>1174</v>
      </c>
      <c r="D103" s="500">
        <v>110</v>
      </c>
    </row>
    <row r="104" spans="1:8">
      <c r="B104" s="63" t="s">
        <v>1175</v>
      </c>
      <c r="D104" s="500">
        <v>-20</v>
      </c>
    </row>
    <row r="105" spans="1:8">
      <c r="B105" s="63" t="s">
        <v>1176</v>
      </c>
      <c r="D105" s="500">
        <v>-5</v>
      </c>
    </row>
    <row r="106" spans="1:8">
      <c r="B106" s="63" t="s">
        <v>1177</v>
      </c>
      <c r="D106" s="501">
        <f>SUM(D103:D105)</f>
        <v>85</v>
      </c>
    </row>
    <row r="108" spans="1:8">
      <c r="B108" s="63" t="s">
        <v>1178</v>
      </c>
      <c r="D108" s="500">
        <v>5700</v>
      </c>
    </row>
    <row r="110" spans="1:8">
      <c r="B110" s="63" t="s">
        <v>1179</v>
      </c>
      <c r="D110" s="503">
        <f>D106*D108</f>
        <v>484500</v>
      </c>
      <c r="F110" s="63" t="s">
        <v>1180</v>
      </c>
    </row>
    <row r="203" spans="1:8">
      <c r="A203" s="707" t="s">
        <v>1227</v>
      </c>
      <c r="B203" s="707"/>
      <c r="C203" s="707"/>
      <c r="D203" s="707"/>
      <c r="E203" s="707"/>
      <c r="F203" s="707"/>
      <c r="G203" s="707"/>
      <c r="H203" s="707"/>
    </row>
    <row r="205" spans="1:8">
      <c r="A205" s="63" t="s">
        <v>1230</v>
      </c>
    </row>
    <row r="206" spans="1:8">
      <c r="A206" s="63" t="s">
        <v>1231</v>
      </c>
    </row>
    <row r="207" spans="1:8">
      <c r="A207" s="63" t="s">
        <v>1228</v>
      </c>
    </row>
    <row r="209" spans="1:8">
      <c r="A209" s="63" t="s">
        <v>1229</v>
      </c>
    </row>
    <row r="211" spans="1:8">
      <c r="A211" s="522" t="s">
        <v>1232</v>
      </c>
      <c r="B211" s="523"/>
      <c r="C211" s="523"/>
      <c r="D211" s="523"/>
      <c r="E211" s="523"/>
      <c r="F211" s="523"/>
      <c r="G211" s="523"/>
      <c r="H211" s="523"/>
    </row>
    <row r="212" spans="1:8">
      <c r="A212" s="63" t="s">
        <v>1233</v>
      </c>
    </row>
    <row r="213" spans="1:8">
      <c r="A213" s="63" t="s">
        <v>1234</v>
      </c>
    </row>
    <row r="214" spans="1:8">
      <c r="A214" s="63" t="s">
        <v>1235</v>
      </c>
    </row>
    <row r="216" spans="1:8">
      <c r="A216" s="63" t="s">
        <v>1236</v>
      </c>
    </row>
    <row r="217" spans="1:8">
      <c r="A217" s="63" t="s">
        <v>1237</v>
      </c>
    </row>
    <row r="218" spans="1:8">
      <c r="A218" s="63" t="s">
        <v>1239</v>
      </c>
    </row>
    <row r="219" spans="1:8">
      <c r="A219" s="63" t="s">
        <v>1238</v>
      </c>
    </row>
    <row r="221" spans="1:8">
      <c r="A221" s="522" t="s">
        <v>1279</v>
      </c>
      <c r="B221" s="523"/>
      <c r="C221" s="523"/>
      <c r="D221" s="523"/>
      <c r="E221" s="523"/>
      <c r="F221" s="523"/>
      <c r="G221" s="523"/>
      <c r="H221" s="523"/>
    </row>
    <row r="222" spans="1:8">
      <c r="A222" s="63" t="s">
        <v>1241</v>
      </c>
    </row>
    <row r="223" spans="1:8">
      <c r="A223" s="63" t="s">
        <v>1242</v>
      </c>
    </row>
    <row r="224" spans="1:8">
      <c r="A224" s="63" t="s">
        <v>1243</v>
      </c>
    </row>
    <row r="225" spans="1:8">
      <c r="A225" s="63" t="s">
        <v>1244</v>
      </c>
    </row>
    <row r="226" spans="1:8">
      <c r="A226" s="63" t="s">
        <v>1245</v>
      </c>
    </row>
    <row r="227" spans="1:8">
      <c r="A227" s="63" t="s">
        <v>1246</v>
      </c>
    </row>
    <row r="228" spans="1:8">
      <c r="A228" s="63" t="s">
        <v>1247</v>
      </c>
    </row>
    <row r="229" spans="1:8">
      <c r="A229" s="63" t="s">
        <v>1248</v>
      </c>
      <c r="F229" s="3"/>
    </row>
    <row r="230" spans="1:8">
      <c r="A230" s="63" t="s">
        <v>989</v>
      </c>
    </row>
    <row r="231" spans="1:8">
      <c r="A231" s="63" t="s">
        <v>1249</v>
      </c>
    </row>
    <row r="232" spans="1:8">
      <c r="A232" s="63" t="s">
        <v>1250</v>
      </c>
    </row>
    <row r="233" spans="1:8">
      <c r="A233" s="63" t="s">
        <v>1251</v>
      </c>
    </row>
    <row r="235" spans="1:8">
      <c r="E235" s="63" t="s">
        <v>1277</v>
      </c>
    </row>
    <row r="236" spans="1:8">
      <c r="A236" s="63" t="s">
        <v>1108</v>
      </c>
      <c r="E236" s="63" t="s">
        <v>1276</v>
      </c>
      <c r="G236" s="63" t="s">
        <v>1278</v>
      </c>
    </row>
    <row r="237" spans="1:8">
      <c r="B237" s="526">
        <v>44196</v>
      </c>
      <c r="C237" s="526">
        <v>44561</v>
      </c>
      <c r="D237" s="526">
        <v>44926</v>
      </c>
      <c r="E237" s="526">
        <v>45291</v>
      </c>
      <c r="F237" s="526">
        <v>45657</v>
      </c>
      <c r="G237" s="526">
        <v>45839</v>
      </c>
      <c r="H237" s="526">
        <v>46022</v>
      </c>
    </row>
    <row r="238" spans="1:8">
      <c r="A238" s="63" t="s">
        <v>935</v>
      </c>
      <c r="B238" s="500">
        <f>E256</f>
        <v>550000</v>
      </c>
      <c r="C238" s="500">
        <f>B238</f>
        <v>550000</v>
      </c>
      <c r="D238" s="500">
        <f>C238</f>
        <v>550000</v>
      </c>
      <c r="E238" s="500">
        <f>D238</f>
        <v>550000</v>
      </c>
      <c r="F238" s="500">
        <f>E238</f>
        <v>550000</v>
      </c>
      <c r="G238" s="500">
        <f>F238</f>
        <v>550000</v>
      </c>
      <c r="H238" s="500">
        <v>0</v>
      </c>
    </row>
    <row r="239" spans="1:8">
      <c r="A239" s="63" t="s">
        <v>936</v>
      </c>
      <c r="B239" s="500">
        <f>-B242</f>
        <v>-36000</v>
      </c>
      <c r="C239" s="500">
        <f>B239-C242</f>
        <v>-84000</v>
      </c>
      <c r="D239" s="500">
        <f>C239-D242</f>
        <v>-132000</v>
      </c>
      <c r="E239" s="500">
        <f>D239-E242</f>
        <v>-254666.66666666669</v>
      </c>
      <c r="F239" s="500">
        <f>E239-F242</f>
        <v>-377333.33333333337</v>
      </c>
      <c r="G239" s="500">
        <f>F239-G242</f>
        <v>-438666.66666666669</v>
      </c>
      <c r="H239" s="500">
        <v>0</v>
      </c>
    </row>
    <row r="240" spans="1:8">
      <c r="A240" s="63" t="s">
        <v>1252</v>
      </c>
      <c r="B240" s="501">
        <f t="shared" ref="B240:G240" si="0">B238+B239</f>
        <v>514000</v>
      </c>
      <c r="C240" s="501">
        <f t="shared" si="0"/>
        <v>466000</v>
      </c>
      <c r="D240" s="501">
        <f t="shared" si="0"/>
        <v>418000</v>
      </c>
      <c r="E240" s="501">
        <f t="shared" si="0"/>
        <v>295333.33333333331</v>
      </c>
      <c r="F240" s="501">
        <f t="shared" si="0"/>
        <v>172666.66666666663</v>
      </c>
      <c r="G240" s="501">
        <f t="shared" si="0"/>
        <v>111333.33333333331</v>
      </c>
      <c r="H240" s="501">
        <v>0</v>
      </c>
    </row>
    <row r="241" spans="1:8">
      <c r="B241" s="500"/>
      <c r="C241" s="500"/>
      <c r="D241" s="500"/>
      <c r="E241" s="500"/>
      <c r="F241" s="500"/>
      <c r="H241" s="500"/>
    </row>
    <row r="242" spans="1:8">
      <c r="A242" s="63" t="s">
        <v>587</v>
      </c>
      <c r="B242" s="500">
        <f>(550000-70000)/10*(9/12)</f>
        <v>36000</v>
      </c>
      <c r="C242" s="500">
        <f>(550000-70000)/10</f>
        <v>48000</v>
      </c>
      <c r="D242" s="500">
        <f>(550000-70000)/10</f>
        <v>48000</v>
      </c>
      <c r="E242" s="500">
        <f>(418000-50000)/3</f>
        <v>122666.66666666667</v>
      </c>
      <c r="F242" s="500">
        <f>E242</f>
        <v>122666.66666666667</v>
      </c>
      <c r="G242" s="500">
        <f>F242*6/12</f>
        <v>61333.333333333336</v>
      </c>
      <c r="H242" s="500">
        <f>G242</f>
        <v>61333.333333333336</v>
      </c>
    </row>
    <row r="243" spans="1:8">
      <c r="B243" s="500"/>
      <c r="C243" s="500"/>
      <c r="D243" s="500"/>
      <c r="E243" s="500"/>
      <c r="F243" s="500"/>
      <c r="G243" s="500"/>
    </row>
    <row r="244" spans="1:8">
      <c r="A244" s="63" t="s">
        <v>1253</v>
      </c>
      <c r="H244" s="500">
        <f>120000-G240</f>
        <v>8666.6666666666861</v>
      </c>
    </row>
    <row r="246" spans="1:8">
      <c r="A246" s="63" t="s">
        <v>1254</v>
      </c>
    </row>
    <row r="247" spans="1:8">
      <c r="A247" s="63" t="s">
        <v>1264</v>
      </c>
    </row>
    <row r="248" spans="1:8">
      <c r="A248" s="63" t="s">
        <v>1255</v>
      </c>
    </row>
    <row r="249" spans="1:8">
      <c r="A249" s="63" t="s">
        <v>1256</v>
      </c>
    </row>
    <row r="250" spans="1:8">
      <c r="A250" s="63" t="s">
        <v>1257</v>
      </c>
    </row>
    <row r="251" spans="1:8">
      <c r="A251" s="63" t="s">
        <v>1258</v>
      </c>
    </row>
    <row r="252" spans="1:8">
      <c r="A252" s="63" t="s">
        <v>1259</v>
      </c>
    </row>
    <row r="253" spans="1:8">
      <c r="C253" s="63" t="s">
        <v>1260</v>
      </c>
      <c r="E253" s="64">
        <v>500000</v>
      </c>
    </row>
    <row r="254" spans="1:8">
      <c r="C254" s="63" t="s">
        <v>1261</v>
      </c>
      <c r="E254" s="64">
        <v>20000</v>
      </c>
    </row>
    <row r="255" spans="1:8">
      <c r="C255" s="63" t="s">
        <v>1262</v>
      </c>
      <c r="E255" s="64">
        <v>30000</v>
      </c>
    </row>
    <row r="256" spans="1:8">
      <c r="C256" s="63" t="s">
        <v>1263</v>
      </c>
      <c r="E256" s="511">
        <f>SUM(E253:E255)</f>
        <v>550000</v>
      </c>
    </row>
    <row r="258" spans="1:1">
      <c r="A258" s="63" t="s">
        <v>1265</v>
      </c>
    </row>
    <row r="259" spans="1:1">
      <c r="A259" s="63" t="s">
        <v>1266</v>
      </c>
    </row>
    <row r="264" spans="1:1">
      <c r="A264" s="63" t="s">
        <v>1267</v>
      </c>
    </row>
    <row r="265" spans="1:1">
      <c r="A265" s="63" t="s">
        <v>1269</v>
      </c>
    </row>
    <row r="266" spans="1:1">
      <c r="A266" s="63" t="s">
        <v>1268</v>
      </c>
    </row>
    <row r="268" spans="1:1">
      <c r="A268" s="63" t="s">
        <v>1270</v>
      </c>
    </row>
    <row r="270" spans="1:1">
      <c r="A270" s="63" t="s">
        <v>1271</v>
      </c>
    </row>
    <row r="272" spans="1:1">
      <c r="A272" s="63" t="s">
        <v>1272</v>
      </c>
    </row>
    <row r="273" spans="1:8">
      <c r="A273" s="5" t="s">
        <v>1273</v>
      </c>
    </row>
    <row r="275" spans="1:8">
      <c r="A275" s="63" t="s">
        <v>1274</v>
      </c>
      <c r="E275" s="63">
        <f>48000*9/12</f>
        <v>36000</v>
      </c>
      <c r="G275" s="63" t="s">
        <v>1275</v>
      </c>
    </row>
    <row r="277" spans="1:8">
      <c r="A277" s="522" t="s">
        <v>1280</v>
      </c>
      <c r="B277" s="523"/>
      <c r="C277" s="523"/>
      <c r="D277" s="523"/>
      <c r="E277" s="523"/>
      <c r="F277" s="523"/>
      <c r="G277" s="523"/>
      <c r="H277" s="523"/>
    </row>
    <row r="279" spans="1:8">
      <c r="A279" s="63" t="s">
        <v>1281</v>
      </c>
    </row>
    <row r="280" spans="1:8">
      <c r="A280" s="63" t="s">
        <v>1284</v>
      </c>
    </row>
    <row r="282" spans="1:8">
      <c r="B282" s="190" t="s">
        <v>935</v>
      </c>
      <c r="C282" s="190" t="s">
        <v>936</v>
      </c>
      <c r="D282" s="190" t="s">
        <v>1252</v>
      </c>
      <c r="E282" s="190" t="s">
        <v>1282</v>
      </c>
    </row>
    <row r="283" spans="1:8">
      <c r="B283" s="187">
        <v>1000000</v>
      </c>
      <c r="C283" s="187">
        <v>75000</v>
      </c>
      <c r="D283" s="187">
        <f>B283-C283</f>
        <v>925000</v>
      </c>
      <c r="E283" s="527" t="s">
        <v>1283</v>
      </c>
    </row>
    <row r="285" spans="1:8">
      <c r="A285" s="63" t="s">
        <v>1283</v>
      </c>
      <c r="B285" s="63" t="s">
        <v>1285</v>
      </c>
    </row>
    <row r="286" spans="1:8">
      <c r="B286" s="63" t="s">
        <v>1286</v>
      </c>
    </row>
    <row r="287" spans="1:8">
      <c r="B287" s="63" t="s">
        <v>1287</v>
      </c>
    </row>
    <row r="288" spans="1:8">
      <c r="B288" s="63" t="s">
        <v>1288</v>
      </c>
    </row>
    <row r="290" spans="1:5">
      <c r="A290" s="63" t="s">
        <v>989</v>
      </c>
    </row>
    <row r="291" spans="1:5">
      <c r="A291" s="63" t="s">
        <v>1289</v>
      </c>
    </row>
    <row r="292" spans="1:5">
      <c r="A292" s="63" t="s">
        <v>1290</v>
      </c>
    </row>
    <row r="293" spans="1:5">
      <c r="A293" s="63" t="s">
        <v>1291</v>
      </c>
    </row>
    <row r="295" spans="1:5">
      <c r="A295" s="5" t="s">
        <v>1289</v>
      </c>
      <c r="B295" s="5"/>
      <c r="C295" s="5"/>
      <c r="D295" s="5"/>
      <c r="E295" s="5"/>
    </row>
    <row r="297" spans="1:5">
      <c r="A297" s="63" t="s">
        <v>1292</v>
      </c>
    </row>
    <row r="298" spans="1:5">
      <c r="A298" s="63" t="s">
        <v>1293</v>
      </c>
    </row>
    <row r="299" spans="1:5">
      <c r="E299" s="63" t="s">
        <v>1294</v>
      </c>
    </row>
    <row r="301" spans="1:5">
      <c r="A301" s="63" t="s">
        <v>1295</v>
      </c>
    </row>
    <row r="303" spans="1:5">
      <c r="A303" s="63" t="s">
        <v>1296</v>
      </c>
    </row>
    <row r="305" spans="1:5">
      <c r="A305" s="63" t="s">
        <v>1302</v>
      </c>
    </row>
    <row r="306" spans="1:5">
      <c r="B306" s="63" t="s">
        <v>936</v>
      </c>
      <c r="D306" s="63" t="s">
        <v>1298</v>
      </c>
      <c r="E306" s="63" t="s">
        <v>1297</v>
      </c>
    </row>
    <row r="308" spans="1:5">
      <c r="A308" s="63" t="s">
        <v>1299</v>
      </c>
    </row>
    <row r="309" spans="1:5">
      <c r="E309" s="63" t="s">
        <v>1300</v>
      </c>
    </row>
    <row r="310" spans="1:5">
      <c r="E310" s="63" t="s">
        <v>1301</v>
      </c>
    </row>
    <row r="312" spans="1:5">
      <c r="A312" s="5" t="s">
        <v>1290</v>
      </c>
    </row>
    <row r="313" spans="1:5">
      <c r="A313" s="5" t="s">
        <v>1291</v>
      </c>
    </row>
    <row r="314" spans="1:5">
      <c r="C314" s="528">
        <v>45291</v>
      </c>
      <c r="D314" s="528">
        <v>45657</v>
      </c>
    </row>
    <row r="315" spans="1:5">
      <c r="B315" s="63" t="s">
        <v>935</v>
      </c>
      <c r="C315" s="506">
        <f>B283</f>
        <v>1000000</v>
      </c>
      <c r="D315" s="506">
        <f>C315</f>
        <v>1000000</v>
      </c>
    </row>
    <row r="316" spans="1:5">
      <c r="B316" s="63" t="s">
        <v>936</v>
      </c>
      <c r="C316" s="506">
        <f>-C283</f>
        <v>-75000</v>
      </c>
      <c r="D316" s="506">
        <f>C316-D319</f>
        <v>-150000</v>
      </c>
    </row>
    <row r="317" spans="1:5">
      <c r="B317" s="63" t="s">
        <v>1252</v>
      </c>
      <c r="C317" s="512">
        <f>C315+C316</f>
        <v>925000</v>
      </c>
      <c r="D317" s="512">
        <f>D315+D316</f>
        <v>850000</v>
      </c>
    </row>
    <row r="318" spans="1:5">
      <c r="C318" s="506"/>
      <c r="D318" s="506"/>
    </row>
    <row r="319" spans="1:5">
      <c r="B319" s="63" t="s">
        <v>587</v>
      </c>
      <c r="C319" s="506">
        <f>75000</f>
        <v>75000</v>
      </c>
      <c r="D319" s="506">
        <f>C319</f>
        <v>75000</v>
      </c>
    </row>
    <row r="321" spans="1:8">
      <c r="A321" s="522" t="s">
        <v>1303</v>
      </c>
      <c r="B321" s="523"/>
      <c r="C321" s="523"/>
      <c r="D321" s="523"/>
      <c r="E321" s="523"/>
      <c r="F321" s="523"/>
      <c r="G321" s="523"/>
      <c r="H321" s="523"/>
    </row>
    <row r="322" spans="1:8">
      <c r="A322" s="63" t="s">
        <v>1304</v>
      </c>
    </row>
    <row r="323" spans="1:8">
      <c r="A323" s="63" t="s">
        <v>1305</v>
      </c>
    </row>
    <row r="324" spans="1:8">
      <c r="A324" s="63" t="s">
        <v>1306</v>
      </c>
    </row>
    <row r="325" spans="1:8">
      <c r="A325" s="63" t="s">
        <v>1307</v>
      </c>
    </row>
    <row r="327" spans="1:8">
      <c r="A327" s="5" t="s">
        <v>1308</v>
      </c>
    </row>
    <row r="329" spans="1:8">
      <c r="A329" s="63" t="s">
        <v>1309</v>
      </c>
    </row>
    <row r="330" spans="1:8">
      <c r="A330" s="63" t="s">
        <v>1310</v>
      </c>
    </row>
    <row r="333" spans="1:8">
      <c r="B333" s="63" t="s">
        <v>1311</v>
      </c>
    </row>
    <row r="335" spans="1:8">
      <c r="A335" s="63" t="s">
        <v>1312</v>
      </c>
    </row>
    <row r="336" spans="1:8">
      <c r="A336" s="63" t="s">
        <v>1313</v>
      </c>
    </row>
    <row r="338" spans="1:4">
      <c r="B338" s="63" t="s">
        <v>1315</v>
      </c>
      <c r="C338" s="63" t="s">
        <v>1316</v>
      </c>
      <c r="D338" s="63" t="s">
        <v>1317</v>
      </c>
    </row>
    <row r="339" spans="1:4">
      <c r="B339" s="63">
        <v>2022</v>
      </c>
      <c r="C339" s="63">
        <v>7</v>
      </c>
      <c r="D339" s="63" t="s">
        <v>1318</v>
      </c>
    </row>
    <row r="340" spans="1:4">
      <c r="B340" s="63">
        <v>2023</v>
      </c>
      <c r="C340" s="63">
        <v>6</v>
      </c>
      <c r="D340" s="63" t="s">
        <v>1319</v>
      </c>
    </row>
    <row r="341" spans="1:4">
      <c r="B341" s="63">
        <v>2024</v>
      </c>
      <c r="C341" s="63">
        <v>5</v>
      </c>
      <c r="D341" s="63" t="s">
        <v>1320</v>
      </c>
    </row>
    <row r="343" spans="1:4">
      <c r="A343" s="63" t="s">
        <v>1314</v>
      </c>
    </row>
    <row r="345" spans="1:4">
      <c r="C345" s="500">
        <f>80000*C339/28</f>
        <v>20000</v>
      </c>
    </row>
    <row r="346" spans="1:4">
      <c r="C346" s="500"/>
    </row>
    <row r="347" spans="1:4">
      <c r="C347" s="500"/>
    </row>
    <row r="348" spans="1:4">
      <c r="C348" s="500">
        <f>80000*C340/28</f>
        <v>17142.857142857141</v>
      </c>
    </row>
    <row r="349" spans="1:4">
      <c r="C349" s="500"/>
    </row>
    <row r="350" spans="1:4">
      <c r="C350" s="500">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R619"/>
  <sheetViews>
    <sheetView showGridLines="0" rightToLeft="1" tabSelected="1" zoomScale="150" zoomScaleNormal="150" workbookViewId="0">
      <selection activeCell="J15" sqref="J15"/>
    </sheetView>
  </sheetViews>
  <sheetFormatPr baseColWidth="10" defaultRowHeight="16"/>
  <cols>
    <col min="1" max="16384" width="10.83203125" style="63"/>
  </cols>
  <sheetData>
    <row r="1" spans="1:8">
      <c r="A1" s="495" t="s">
        <v>2382</v>
      </c>
      <c r="B1" s="504"/>
      <c r="C1" s="504"/>
      <c r="D1" s="504"/>
      <c r="E1" s="504"/>
      <c r="F1" s="504"/>
      <c r="G1" s="504"/>
      <c r="H1" s="744">
        <v>45771</v>
      </c>
    </row>
    <row r="4" spans="1:8">
      <c r="A4" s="539" t="s">
        <v>942</v>
      </c>
      <c r="B4" s="539"/>
      <c r="C4" s="539"/>
      <c r="D4" s="539"/>
      <c r="E4" s="539"/>
      <c r="F4" s="539"/>
      <c r="G4" s="539"/>
      <c r="H4" s="539"/>
    </row>
    <row r="5" spans="1:8">
      <c r="A5" s="63" t="s">
        <v>1436</v>
      </c>
    </row>
    <row r="6" spans="1:8">
      <c r="A6" s="63" t="s">
        <v>1437</v>
      </c>
    </row>
    <row r="7" spans="1:8">
      <c r="A7" s="63" t="s">
        <v>1438</v>
      </c>
    </row>
    <row r="8" spans="1:8">
      <c r="A8" s="63" t="s">
        <v>1439</v>
      </c>
    </row>
    <row r="9" spans="1:8">
      <c r="A9" s="63" t="s">
        <v>1440</v>
      </c>
    </row>
    <row r="10" spans="1:8" ht="17" thickBot="1"/>
    <row r="11" spans="1:8">
      <c r="A11" s="516" t="s">
        <v>2139</v>
      </c>
      <c r="B11" s="723"/>
      <c r="C11" s="723"/>
      <c r="D11" s="723"/>
      <c r="E11" s="723"/>
      <c r="F11" s="723"/>
      <c r="G11" s="723"/>
      <c r="H11" s="724"/>
    </row>
    <row r="12" spans="1:8">
      <c r="A12" s="519" t="s">
        <v>2140</v>
      </c>
      <c r="B12" s="725"/>
      <c r="C12" s="725"/>
      <c r="D12" s="725"/>
      <c r="E12" s="725"/>
      <c r="F12" s="725"/>
      <c r="G12" s="725"/>
      <c r="H12" s="520"/>
    </row>
    <row r="13" spans="1:8">
      <c r="A13" s="519" t="s">
        <v>2141</v>
      </c>
      <c r="B13" s="725"/>
      <c r="C13" s="725"/>
      <c r="D13" s="725"/>
      <c r="E13" s="725"/>
      <c r="F13" s="725"/>
      <c r="G13" s="725"/>
      <c r="H13" s="520"/>
    </row>
    <row r="14" spans="1:8">
      <c r="A14" s="519" t="s">
        <v>2143</v>
      </c>
      <c r="B14" s="725"/>
      <c r="C14" s="725"/>
      <c r="D14" s="725"/>
      <c r="E14" s="725"/>
      <c r="F14" s="725"/>
      <c r="G14" s="725"/>
      <c r="H14" s="520"/>
    </row>
    <row r="15" spans="1:8" ht="17" thickBot="1">
      <c r="A15" s="521" t="s">
        <v>2142</v>
      </c>
      <c r="B15" s="524"/>
      <c r="C15" s="524"/>
      <c r="D15" s="524"/>
      <c r="E15" s="524"/>
      <c r="F15" s="524"/>
      <c r="G15" s="524"/>
      <c r="H15" s="525"/>
    </row>
    <row r="17" spans="1:8">
      <c r="A17" s="726" t="s">
        <v>2144</v>
      </c>
      <c r="B17" s="722"/>
      <c r="C17" s="722"/>
      <c r="D17" s="722"/>
      <c r="E17" s="722"/>
      <c r="F17" s="722"/>
      <c r="G17" s="722"/>
      <c r="H17" s="722"/>
    </row>
    <row r="18" spans="1:8">
      <c r="A18" s="2" t="s">
        <v>2133</v>
      </c>
      <c r="B18" s="2"/>
      <c r="C18" s="2"/>
      <c r="D18" s="2"/>
      <c r="E18" s="2"/>
      <c r="F18" s="2"/>
      <c r="G18" s="2"/>
      <c r="H18" s="2"/>
    </row>
    <row r="19" spans="1:8">
      <c r="A19" s="2" t="s">
        <v>2134</v>
      </c>
      <c r="B19" s="2"/>
      <c r="C19" s="2"/>
      <c r="D19" s="2"/>
      <c r="E19" s="2"/>
      <c r="F19" s="2"/>
      <c r="G19" s="2"/>
      <c r="H19" s="2"/>
    </row>
    <row r="20" spans="1:8">
      <c r="A20" s="2" t="s">
        <v>2135</v>
      </c>
      <c r="B20" s="2"/>
      <c r="C20" s="2"/>
      <c r="D20" s="2"/>
      <c r="E20" s="2"/>
      <c r="F20" s="2"/>
      <c r="G20" s="2"/>
      <c r="H20" s="2"/>
    </row>
    <row r="21" spans="1:8">
      <c r="A21" s="2" t="s">
        <v>989</v>
      </c>
      <c r="B21" s="2"/>
      <c r="C21" s="2"/>
      <c r="D21" s="2"/>
      <c r="E21" s="2"/>
      <c r="F21" s="2"/>
      <c r="G21" s="2"/>
      <c r="H21" s="2"/>
    </row>
    <row r="22" spans="1:8">
      <c r="A22" s="2" t="s">
        <v>2136</v>
      </c>
      <c r="B22" s="2"/>
      <c r="C22" s="2"/>
      <c r="D22" s="2"/>
      <c r="E22" s="2"/>
      <c r="F22" s="2"/>
      <c r="G22" s="2"/>
      <c r="H22" s="2"/>
    </row>
    <row r="23" spans="1:8">
      <c r="A23" s="2" t="s">
        <v>2137</v>
      </c>
      <c r="B23" s="2"/>
      <c r="C23" s="2"/>
      <c r="D23" s="2"/>
      <c r="E23" s="2"/>
      <c r="F23" s="2"/>
      <c r="G23" s="2"/>
      <c r="H23" s="2"/>
    </row>
    <row r="25" spans="1:8">
      <c r="A25" s="63" t="s">
        <v>1108</v>
      </c>
    </row>
    <row r="27" spans="1:8">
      <c r="A27" s="63" t="s">
        <v>2145</v>
      </c>
    </row>
    <row r="28" spans="1:8">
      <c r="A28" s="63" t="s">
        <v>2146</v>
      </c>
    </row>
    <row r="29" spans="1:8">
      <c r="A29" s="63" t="s">
        <v>2147</v>
      </c>
    </row>
    <row r="30" spans="1:8">
      <c r="A30" s="63" t="s">
        <v>2148</v>
      </c>
    </row>
    <row r="32" spans="1:8">
      <c r="C32" s="507" t="s">
        <v>1126</v>
      </c>
      <c r="D32" s="507" t="s">
        <v>1127</v>
      </c>
      <c r="E32" s="507" t="s">
        <v>1044</v>
      </c>
    </row>
    <row r="33" spans="3:8">
      <c r="C33" s="728">
        <v>43831</v>
      </c>
      <c r="D33" s="505" t="s">
        <v>2149</v>
      </c>
      <c r="E33" s="506">
        <v>40000</v>
      </c>
    </row>
    <row r="34" spans="3:8">
      <c r="C34" s="728">
        <v>44013</v>
      </c>
      <c r="D34" s="505" t="s">
        <v>2150</v>
      </c>
      <c r="E34" s="506">
        <f>-(4000+40000*5%)</f>
        <v>-6000</v>
      </c>
      <c r="G34" s="63" t="s">
        <v>2151</v>
      </c>
    </row>
    <row r="35" spans="3:8">
      <c r="C35" s="505">
        <v>2020</v>
      </c>
      <c r="D35" s="505" t="s">
        <v>461</v>
      </c>
      <c r="E35" s="571">
        <f>E36-E34-E33</f>
        <v>3800</v>
      </c>
      <c r="F35" s="505" t="s">
        <v>1508</v>
      </c>
    </row>
    <row r="36" spans="3:8">
      <c r="C36" s="728">
        <v>44196</v>
      </c>
      <c r="D36" s="505" t="s">
        <v>2149</v>
      </c>
      <c r="E36" s="512">
        <f>40000*9/10*1.05</f>
        <v>37800</v>
      </c>
      <c r="G36" s="63" t="s">
        <v>2152</v>
      </c>
    </row>
    <row r="37" spans="3:8">
      <c r="C37" s="728">
        <v>44197</v>
      </c>
      <c r="D37" s="505" t="s">
        <v>2150</v>
      </c>
      <c r="E37" s="506">
        <f>-(40000/10+40000*9/10*5%)</f>
        <v>-5800</v>
      </c>
      <c r="F37" s="505"/>
      <c r="H37" s="729" t="s">
        <v>2153</v>
      </c>
    </row>
    <row r="38" spans="3:8">
      <c r="C38" s="728">
        <v>44378</v>
      </c>
      <c r="D38" s="505" t="s">
        <v>2150</v>
      </c>
      <c r="E38" s="506">
        <f>-(40000/10+40000*8/10*5%)</f>
        <v>-5600</v>
      </c>
      <c r="F38" s="505"/>
      <c r="G38" s="505"/>
      <c r="H38" s="729" t="s">
        <v>2154</v>
      </c>
    </row>
    <row r="39" spans="3:8">
      <c r="C39" s="505">
        <v>2021</v>
      </c>
      <c r="D39" s="505" t="s">
        <v>461</v>
      </c>
      <c r="E39" s="571">
        <f>E40-E38-E37-E36</f>
        <v>3000</v>
      </c>
      <c r="F39" s="505" t="s">
        <v>1508</v>
      </c>
      <c r="G39" s="505"/>
    </row>
    <row r="40" spans="3:8">
      <c r="C40" s="728">
        <v>44561</v>
      </c>
      <c r="D40" s="505" t="s">
        <v>2149</v>
      </c>
      <c r="E40" s="512">
        <f>40000*7/10*1.05</f>
        <v>29400</v>
      </c>
      <c r="F40" s="505"/>
      <c r="G40" s="63" t="s">
        <v>2155</v>
      </c>
    </row>
    <row r="41" spans="3:8">
      <c r="C41" s="728">
        <v>44562</v>
      </c>
      <c r="D41" s="505" t="s">
        <v>2150</v>
      </c>
      <c r="E41" s="506">
        <f>-(4000+40000*7/10*5%)</f>
        <v>-5400</v>
      </c>
      <c r="F41" s="505"/>
      <c r="H41" s="729" t="s">
        <v>2156</v>
      </c>
    </row>
    <row r="42" spans="3:8">
      <c r="C42" s="728">
        <v>44743</v>
      </c>
      <c r="D42" s="505" t="s">
        <v>2150</v>
      </c>
      <c r="E42" s="506">
        <f>-(4000+40000*6/10*5%)</f>
        <v>-5200</v>
      </c>
      <c r="F42" s="505"/>
      <c r="G42" s="505"/>
      <c r="H42" s="729" t="s">
        <v>2157</v>
      </c>
    </row>
    <row r="43" spans="3:8">
      <c r="C43" s="505">
        <v>2022</v>
      </c>
      <c r="D43" s="505" t="s">
        <v>461</v>
      </c>
      <c r="E43" s="571">
        <f>E44-E42-E41-E40</f>
        <v>2200</v>
      </c>
      <c r="F43" s="505" t="s">
        <v>1508</v>
      </c>
      <c r="G43" s="505"/>
    </row>
    <row r="44" spans="3:8">
      <c r="C44" s="728">
        <v>44926</v>
      </c>
      <c r="D44" s="505" t="s">
        <v>2149</v>
      </c>
      <c r="E44" s="512">
        <f>40000*5/10*1.05</f>
        <v>21000</v>
      </c>
      <c r="F44" s="505"/>
      <c r="G44" s="63" t="s">
        <v>2158</v>
      </c>
    </row>
    <row r="45" spans="3:8">
      <c r="C45" s="728">
        <v>44927</v>
      </c>
      <c r="D45" s="505" t="s">
        <v>2150</v>
      </c>
      <c r="E45" s="506">
        <f>-(4000+40000*5/10*5%)</f>
        <v>-5000</v>
      </c>
      <c r="F45" s="505"/>
      <c r="H45" s="729" t="s">
        <v>2159</v>
      </c>
    </row>
    <row r="46" spans="3:8">
      <c r="C46" s="728">
        <v>45108</v>
      </c>
      <c r="D46" s="505" t="s">
        <v>2150</v>
      </c>
      <c r="E46" s="506">
        <f>-(4000+40000*4/10*5%)</f>
        <v>-4800</v>
      </c>
      <c r="F46" s="505"/>
      <c r="G46" s="505"/>
      <c r="H46" s="729" t="s">
        <v>2160</v>
      </c>
    </row>
    <row r="47" spans="3:8">
      <c r="C47" s="505">
        <v>2023</v>
      </c>
      <c r="D47" s="505" t="s">
        <v>461</v>
      </c>
      <c r="E47" s="571">
        <f>E48-E46-E45-E44</f>
        <v>1400</v>
      </c>
      <c r="F47" s="505" t="s">
        <v>1508</v>
      </c>
      <c r="G47" s="505"/>
    </row>
    <row r="48" spans="3:8">
      <c r="C48" s="728">
        <v>45291</v>
      </c>
      <c r="D48" s="505" t="s">
        <v>2149</v>
      </c>
      <c r="E48" s="512">
        <f>40000*3/10*1.05</f>
        <v>12600</v>
      </c>
      <c r="F48" s="505"/>
      <c r="G48" s="63" t="s">
        <v>2161</v>
      </c>
    </row>
    <row r="50" spans="1:9">
      <c r="A50" s="5" t="s">
        <v>2162</v>
      </c>
    </row>
    <row r="52" spans="1:9">
      <c r="A52" s="726" t="s">
        <v>2173</v>
      </c>
      <c r="B52" s="722"/>
      <c r="C52" s="722"/>
      <c r="D52" s="722"/>
      <c r="E52" s="722"/>
      <c r="F52" s="722"/>
      <c r="G52" s="722"/>
      <c r="H52" s="722"/>
    </row>
    <row r="53" spans="1:9">
      <c r="A53" s="2"/>
      <c r="B53" s="2"/>
      <c r="C53" s="2"/>
      <c r="D53" s="2"/>
      <c r="E53" s="2"/>
      <c r="F53" s="2"/>
      <c r="G53" s="2"/>
      <c r="H53" s="2"/>
    </row>
    <row r="54" spans="1:9">
      <c r="A54" s="2" t="s">
        <v>2163</v>
      </c>
      <c r="B54" s="2"/>
      <c r="C54" s="2"/>
      <c r="D54" s="2"/>
      <c r="E54" s="2"/>
      <c r="F54" s="2"/>
      <c r="G54" s="2"/>
      <c r="H54" s="2"/>
    </row>
    <row r="55" spans="1:9">
      <c r="A55" s="2" t="s">
        <v>2164</v>
      </c>
      <c r="B55" s="2"/>
      <c r="C55" s="2"/>
      <c r="D55" s="2"/>
      <c r="E55" s="2"/>
      <c r="F55" s="2"/>
      <c r="G55" s="2"/>
      <c r="H55" s="2"/>
    </row>
    <row r="56" spans="1:9">
      <c r="A56" s="2" t="s">
        <v>2165</v>
      </c>
      <c r="B56" s="2"/>
      <c r="C56" s="2"/>
      <c r="D56" s="2"/>
      <c r="E56" s="2"/>
      <c r="F56" s="2"/>
      <c r="G56" s="2"/>
      <c r="H56" s="2"/>
    </row>
    <row r="57" spans="1:9">
      <c r="A57" s="2" t="s">
        <v>2166</v>
      </c>
      <c r="B57" s="2"/>
      <c r="C57" s="2"/>
      <c r="D57" s="2"/>
      <c r="E57" s="2"/>
      <c r="F57" s="2"/>
      <c r="G57" s="2"/>
      <c r="H57" s="2"/>
    </row>
    <row r="58" spans="1:9">
      <c r="A58" s="2" t="s">
        <v>2167</v>
      </c>
      <c r="B58" s="2"/>
      <c r="C58" s="2"/>
      <c r="D58" s="2"/>
      <c r="E58" s="2"/>
      <c r="F58" s="2"/>
      <c r="G58" s="2"/>
      <c r="H58" s="2"/>
    </row>
    <row r="59" spans="1:9">
      <c r="A59" s="2" t="s">
        <v>2168</v>
      </c>
      <c r="B59" s="2"/>
      <c r="C59" s="2"/>
      <c r="D59" s="2"/>
      <c r="E59" s="2"/>
      <c r="F59" s="2"/>
      <c r="G59" s="2"/>
      <c r="H59" s="2"/>
    </row>
    <row r="60" spans="1:9">
      <c r="A60" s="2"/>
      <c r="B60" s="2"/>
      <c r="C60" s="2"/>
      <c r="D60" s="2"/>
      <c r="E60" s="2"/>
      <c r="F60" s="2"/>
      <c r="G60" s="2"/>
      <c r="H60" s="2"/>
    </row>
    <row r="61" spans="1:9">
      <c r="A61" s="2" t="s">
        <v>2169</v>
      </c>
      <c r="B61" s="2"/>
      <c r="C61" s="2"/>
      <c r="D61" s="2"/>
      <c r="E61" s="2"/>
      <c r="F61" s="2"/>
      <c r="G61" s="2"/>
      <c r="H61" s="2"/>
    </row>
    <row r="62" spans="1:9">
      <c r="A62" s="2" t="s">
        <v>455</v>
      </c>
      <c r="B62" s="2" t="s">
        <v>2170</v>
      </c>
      <c r="C62" s="2"/>
      <c r="D62" s="2"/>
      <c r="E62" s="2"/>
      <c r="F62" s="2"/>
      <c r="G62" s="2"/>
      <c r="H62" s="2" t="s">
        <v>2057</v>
      </c>
      <c r="I62" s="500">
        <f>E69</f>
        <v>53371.428571428638</v>
      </c>
    </row>
    <row r="63" spans="1:9">
      <c r="A63" s="2" t="s">
        <v>460</v>
      </c>
      <c r="B63" s="2" t="s">
        <v>2171</v>
      </c>
      <c r="C63" s="2"/>
      <c r="D63" s="2"/>
      <c r="E63" s="2"/>
      <c r="F63" s="2"/>
      <c r="G63" s="2"/>
      <c r="H63" s="2"/>
    </row>
    <row r="64" spans="1:9">
      <c r="A64" s="2"/>
      <c r="B64" s="2" t="s">
        <v>2172</v>
      </c>
      <c r="C64" s="2"/>
      <c r="D64" s="2"/>
      <c r="E64" s="2"/>
      <c r="F64" s="2"/>
      <c r="G64" s="2"/>
      <c r="H64" s="2" t="s">
        <v>2058</v>
      </c>
      <c r="I64" s="500">
        <f>E70</f>
        <v>481371.42857142858</v>
      </c>
    </row>
    <row r="66" spans="1:8">
      <c r="A66" s="63" t="s">
        <v>2178</v>
      </c>
      <c r="C66" s="507" t="s">
        <v>1126</v>
      </c>
      <c r="D66" s="507" t="s">
        <v>1127</v>
      </c>
      <c r="E66" s="507" t="s">
        <v>1044</v>
      </c>
    </row>
    <row r="67" spans="1:8">
      <c r="C67" s="728">
        <v>43831</v>
      </c>
      <c r="D67" s="505" t="s">
        <v>2149</v>
      </c>
      <c r="E67" s="506">
        <v>500000</v>
      </c>
    </row>
    <row r="68" spans="1:8">
      <c r="C68" s="728">
        <v>44013</v>
      </c>
      <c r="D68" s="505" t="s">
        <v>2174</v>
      </c>
      <c r="E68" s="506">
        <f>-(500000/10+500000*4%)*3.6/3.5</f>
        <v>-72000</v>
      </c>
      <c r="H68" s="63" t="s">
        <v>2176</v>
      </c>
    </row>
    <row r="69" spans="1:8">
      <c r="C69" s="505">
        <v>2020</v>
      </c>
      <c r="D69" s="505" t="s">
        <v>2175</v>
      </c>
      <c r="E69" s="571">
        <f>E70-E68-E67</f>
        <v>53371.428571428638</v>
      </c>
      <c r="F69" s="505" t="s">
        <v>1508</v>
      </c>
    </row>
    <row r="70" spans="1:8">
      <c r="C70" s="728">
        <v>44196</v>
      </c>
      <c r="D70" s="505" t="s">
        <v>2149</v>
      </c>
      <c r="E70" s="512">
        <f>500000*9/10*1.04*3.6/3.5</f>
        <v>481371.42857142858</v>
      </c>
      <c r="H70" s="63" t="s">
        <v>2177</v>
      </c>
    </row>
    <row r="72" spans="1:8">
      <c r="A72" s="539" t="s">
        <v>2179</v>
      </c>
      <c r="B72" s="539"/>
      <c r="C72" s="539"/>
      <c r="D72" s="539"/>
      <c r="E72" s="539"/>
      <c r="F72" s="539"/>
      <c r="G72" s="539"/>
      <c r="H72" s="539"/>
    </row>
    <row r="73" spans="1:8">
      <c r="A73" s="63" t="s">
        <v>1431</v>
      </c>
    </row>
    <row r="74" spans="1:8">
      <c r="A74" s="63" t="s">
        <v>1432</v>
      </c>
    </row>
    <row r="75" spans="1:8">
      <c r="A75" s="63" t="s">
        <v>1433</v>
      </c>
    </row>
    <row r="77" spans="1:8">
      <c r="A77" s="63" t="s">
        <v>989</v>
      </c>
    </row>
    <row r="78" spans="1:8">
      <c r="A78" s="63" t="s">
        <v>1434</v>
      </c>
    </row>
    <row r="79" spans="1:8">
      <c r="A79" s="63" t="s">
        <v>1435</v>
      </c>
    </row>
    <row r="80" spans="1:8">
      <c r="A80" s="63" t="s">
        <v>1441</v>
      </c>
    </row>
    <row r="82" spans="1:1">
      <c r="A82" s="63" t="s">
        <v>1108</v>
      </c>
    </row>
    <row r="84" spans="1:1">
      <c r="A84" s="63" t="s">
        <v>1442</v>
      </c>
    </row>
    <row r="85" spans="1:1">
      <c r="A85" s="63" t="s">
        <v>1443</v>
      </c>
    </row>
    <row r="86" spans="1:1">
      <c r="A86" s="63" t="s">
        <v>1444</v>
      </c>
    </row>
    <row r="87" spans="1:1">
      <c r="A87" s="63" t="s">
        <v>1445</v>
      </c>
    </row>
    <row r="88" spans="1:1">
      <c r="A88" s="63" t="s">
        <v>1446</v>
      </c>
    </row>
    <row r="89" spans="1:1">
      <c r="A89" s="63" t="s">
        <v>1447</v>
      </c>
    </row>
    <row r="91" spans="1:1">
      <c r="A91" s="5" t="s">
        <v>1448</v>
      </c>
    </row>
    <row r="92" spans="1:1">
      <c r="A92" s="63" t="s">
        <v>1449</v>
      </c>
    </row>
    <row r="93" spans="1:1">
      <c r="A93" s="63" t="s">
        <v>1450</v>
      </c>
    </row>
    <row r="94" spans="1:1">
      <c r="A94" s="63" t="s">
        <v>1451</v>
      </c>
    </row>
    <row r="95" spans="1:1">
      <c r="A95" s="63" t="s">
        <v>1452</v>
      </c>
    </row>
    <row r="97" spans="1:7" ht="51">
      <c r="A97" s="190" t="s">
        <v>1453</v>
      </c>
      <c r="B97" s="190" t="s">
        <v>1126</v>
      </c>
      <c r="C97" s="540" t="s">
        <v>1454</v>
      </c>
      <c r="D97" s="540" t="s">
        <v>1455</v>
      </c>
      <c r="E97" s="540" t="s">
        <v>1456</v>
      </c>
    </row>
    <row r="98" spans="1:7">
      <c r="A98" s="190">
        <v>0</v>
      </c>
      <c r="B98" s="541">
        <v>43101</v>
      </c>
      <c r="C98" s="542"/>
      <c r="D98" s="542"/>
      <c r="E98" s="187">
        <v>500000</v>
      </c>
    </row>
    <row r="99" spans="1:7">
      <c r="A99" s="190">
        <v>1</v>
      </c>
      <c r="B99" s="541">
        <v>43465</v>
      </c>
      <c r="C99" s="187">
        <f>500000/5</f>
        <v>100000</v>
      </c>
      <c r="D99" s="187">
        <f>10%*500000</f>
        <v>50000</v>
      </c>
      <c r="E99" s="187">
        <f>E98-C99</f>
        <v>400000</v>
      </c>
    </row>
    <row r="100" spans="1:7">
      <c r="A100" s="190">
        <v>2</v>
      </c>
      <c r="B100" s="541">
        <v>43830</v>
      </c>
      <c r="C100" s="187">
        <f>C99</f>
        <v>100000</v>
      </c>
      <c r="D100" s="187">
        <f>10%*400000</f>
        <v>40000</v>
      </c>
      <c r="E100" s="187">
        <f>E99-C100</f>
        <v>300000</v>
      </c>
    </row>
    <row r="101" spans="1:7">
      <c r="A101" s="190">
        <v>3</v>
      </c>
      <c r="B101" s="541">
        <v>44196</v>
      </c>
      <c r="C101" s="187">
        <f>C100</f>
        <v>100000</v>
      </c>
      <c r="D101" s="187">
        <f>10%*300000</f>
        <v>30000</v>
      </c>
      <c r="E101" s="187">
        <f>E100-C101</f>
        <v>200000</v>
      </c>
    </row>
    <row r="102" spans="1:7">
      <c r="A102" s="190">
        <v>4</v>
      </c>
      <c r="B102" s="541">
        <v>44561</v>
      </c>
      <c r="C102" s="187">
        <f>C101</f>
        <v>100000</v>
      </c>
      <c r="D102" s="187">
        <f>10%*200000</f>
        <v>20000</v>
      </c>
      <c r="E102" s="187">
        <f>E101-C102</f>
        <v>100000</v>
      </c>
    </row>
    <row r="103" spans="1:7">
      <c r="A103" s="190">
        <v>5</v>
      </c>
      <c r="B103" s="541">
        <v>44926</v>
      </c>
      <c r="C103" s="187">
        <f>C102</f>
        <v>100000</v>
      </c>
      <c r="D103" s="187">
        <f>10%*100000</f>
        <v>10000</v>
      </c>
      <c r="E103" s="187">
        <f>E102-C103</f>
        <v>0</v>
      </c>
    </row>
    <row r="105" spans="1:7">
      <c r="A105" s="63" t="s">
        <v>1457</v>
      </c>
    </row>
    <row r="106" spans="1:7">
      <c r="A106" s="63" t="s">
        <v>1458</v>
      </c>
    </row>
    <row r="107" spans="1:7">
      <c r="A107" s="63" t="s">
        <v>1459</v>
      </c>
    </row>
    <row r="108" spans="1:7">
      <c r="A108" s="63" t="s">
        <v>1460</v>
      </c>
      <c r="G108" s="63" t="s">
        <v>1461</v>
      </c>
    </row>
    <row r="109" spans="1:7">
      <c r="A109" s="63" t="s">
        <v>1462</v>
      </c>
    </row>
    <row r="110" spans="1:7">
      <c r="A110" s="63" t="s">
        <v>1463</v>
      </c>
    </row>
    <row r="111" spans="1:7">
      <c r="A111" s="63" t="s">
        <v>1464</v>
      </c>
    </row>
    <row r="112" spans="1:7">
      <c r="A112" s="63" t="s">
        <v>1465</v>
      </c>
    </row>
    <row r="113" spans="1:7">
      <c r="A113" s="63" t="s">
        <v>1466</v>
      </c>
      <c r="G113" s="63" t="s">
        <v>1467</v>
      </c>
    </row>
    <row r="114" spans="1:7">
      <c r="A114" s="63" t="s">
        <v>1468</v>
      </c>
      <c r="G114" s="63" t="s">
        <v>1469</v>
      </c>
    </row>
    <row r="115" spans="1:7">
      <c r="A115" s="63" t="s">
        <v>1470</v>
      </c>
    </row>
    <row r="118" spans="1:7">
      <c r="A118" s="5" t="s">
        <v>1435</v>
      </c>
      <c r="G118" s="63" t="s">
        <v>1472</v>
      </c>
    </row>
    <row r="119" spans="1:7">
      <c r="A119" s="5" t="s">
        <v>1441</v>
      </c>
      <c r="G119" s="63" t="s">
        <v>1473</v>
      </c>
    </row>
    <row r="121" spans="1:7">
      <c r="C121" s="505" t="s">
        <v>1474</v>
      </c>
      <c r="D121" s="505" t="s">
        <v>1475</v>
      </c>
      <c r="E121" s="505"/>
      <c r="F121" s="505"/>
      <c r="G121" s="505" t="s">
        <v>1476</v>
      </c>
    </row>
    <row r="122" spans="1:7" ht="51">
      <c r="A122" s="190" t="s">
        <v>1453</v>
      </c>
      <c r="B122" s="190" t="s">
        <v>1126</v>
      </c>
      <c r="C122" s="540" t="s">
        <v>1454</v>
      </c>
      <c r="D122" s="540" t="s">
        <v>1455</v>
      </c>
      <c r="E122" s="540" t="s">
        <v>1456</v>
      </c>
      <c r="F122" s="5"/>
      <c r="G122" s="544" t="s">
        <v>1471</v>
      </c>
    </row>
    <row r="123" spans="1:7">
      <c r="A123" s="190">
        <v>0</v>
      </c>
      <c r="B123" s="541">
        <v>43101</v>
      </c>
      <c r="C123" s="542"/>
      <c r="D123" s="542"/>
      <c r="E123" s="187">
        <v>500000</v>
      </c>
      <c r="F123" s="5"/>
      <c r="G123" s="545"/>
    </row>
    <row r="124" spans="1:7">
      <c r="A124" s="190">
        <v>1</v>
      </c>
      <c r="B124" s="541">
        <v>43465</v>
      </c>
      <c r="C124" s="543">
        <f>500000/5</f>
        <v>100000</v>
      </c>
      <c r="D124" s="543">
        <f>10%*500000</f>
        <v>50000</v>
      </c>
      <c r="E124" s="187">
        <f>E123-C124</f>
        <v>400000</v>
      </c>
      <c r="F124" s="546">
        <v>43465</v>
      </c>
      <c r="G124" s="547">
        <f>C124+D124</f>
        <v>150000</v>
      </c>
    </row>
    <row r="125" spans="1:7">
      <c r="A125" s="190">
        <v>2</v>
      </c>
      <c r="B125" s="541">
        <v>43830</v>
      </c>
      <c r="C125" s="187">
        <f>C124</f>
        <v>100000</v>
      </c>
      <c r="D125" s="187">
        <f>10%*400000</f>
        <v>40000</v>
      </c>
      <c r="E125" s="187">
        <f>E124-C125</f>
        <v>300000</v>
      </c>
      <c r="F125" s="548">
        <v>43830</v>
      </c>
      <c r="G125" s="537">
        <f>C125+D125</f>
        <v>140000</v>
      </c>
    </row>
    <row r="126" spans="1:7">
      <c r="A126" s="190">
        <v>3</v>
      </c>
      <c r="B126" s="541">
        <v>44196</v>
      </c>
      <c r="C126" s="543">
        <f>C125</f>
        <v>100000</v>
      </c>
      <c r="D126" s="543">
        <f>10%*300000</f>
        <v>30000</v>
      </c>
      <c r="E126" s="187">
        <f>E125-C126</f>
        <v>200000</v>
      </c>
      <c r="F126" s="546">
        <v>44196</v>
      </c>
      <c r="G126" s="547">
        <f>C126+D126</f>
        <v>130000</v>
      </c>
    </row>
    <row r="127" spans="1:7">
      <c r="A127" s="190">
        <v>4</v>
      </c>
      <c r="B127" s="541">
        <v>44561</v>
      </c>
      <c r="C127" s="187">
        <f>C126</f>
        <v>100000</v>
      </c>
      <c r="D127" s="187">
        <f>10%*200000</f>
        <v>20000</v>
      </c>
      <c r="E127" s="187">
        <f>E126-C127</f>
        <v>100000</v>
      </c>
      <c r="F127" s="548">
        <v>44561</v>
      </c>
      <c r="G127" s="537">
        <f>C127+D127</f>
        <v>120000</v>
      </c>
    </row>
    <row r="128" spans="1:7">
      <c r="A128" s="190">
        <v>5</v>
      </c>
      <c r="B128" s="541">
        <v>44926</v>
      </c>
      <c r="C128" s="187">
        <f>C127</f>
        <v>100000</v>
      </c>
      <c r="D128" s="187">
        <f>10%*100000</f>
        <v>10000</v>
      </c>
      <c r="E128" s="187">
        <f>E127-C128</f>
        <v>0</v>
      </c>
      <c r="F128" s="548">
        <v>44926</v>
      </c>
      <c r="G128" s="537">
        <f>C128+D128</f>
        <v>110000</v>
      </c>
    </row>
    <row r="130" spans="1:8">
      <c r="A130" s="495" t="s">
        <v>2180</v>
      </c>
      <c r="B130" s="504"/>
      <c r="C130" s="504"/>
      <c r="D130" s="504"/>
      <c r="E130" s="504"/>
      <c r="F130" s="504"/>
      <c r="G130" s="504"/>
      <c r="H130" s="504"/>
    </row>
    <row r="132" spans="1:8">
      <c r="A132" s="63" t="s">
        <v>942</v>
      </c>
    </row>
    <row r="133" spans="1:8">
      <c r="A133" s="63" t="s">
        <v>1477</v>
      </c>
    </row>
    <row r="134" spans="1:8">
      <c r="A134" s="63" t="s">
        <v>1478</v>
      </c>
    </row>
    <row r="135" spans="1:8">
      <c r="A135" s="63" t="s">
        <v>1479</v>
      </c>
    </row>
    <row r="136" spans="1:8">
      <c r="A136" s="63" t="s">
        <v>1480</v>
      </c>
    </row>
    <row r="137" spans="1:8">
      <c r="A137" s="63" t="s">
        <v>1481</v>
      </c>
    </row>
    <row r="138" spans="1:8">
      <c r="A138" s="63" t="s">
        <v>1482</v>
      </c>
    </row>
    <row r="139" spans="1:8">
      <c r="A139" s="63" t="s">
        <v>1483</v>
      </c>
    </row>
    <row r="140" spans="1:8">
      <c r="A140" s="63" t="s">
        <v>1484</v>
      </c>
    </row>
    <row r="141" spans="1:8">
      <c r="A141" s="63" t="s">
        <v>1485</v>
      </c>
    </row>
    <row r="142" spans="1:8">
      <c r="A142" s="63" t="s">
        <v>1486</v>
      </c>
    </row>
    <row r="144" spans="1:8">
      <c r="A144" s="63" t="s">
        <v>1487</v>
      </c>
    </row>
    <row r="146" spans="1:9">
      <c r="A146" s="190"/>
      <c r="B146" s="717"/>
      <c r="C146" s="718"/>
      <c r="D146" s="530" t="s">
        <v>197</v>
      </c>
      <c r="E146" s="530" t="s">
        <v>197</v>
      </c>
      <c r="F146" s="714" t="s">
        <v>1506</v>
      </c>
      <c r="G146" s="530" t="s">
        <v>1496</v>
      </c>
      <c r="H146" s="530" t="s">
        <v>1501</v>
      </c>
      <c r="I146" s="716" t="s">
        <v>436</v>
      </c>
    </row>
    <row r="147" spans="1:9">
      <c r="A147" s="190" t="s">
        <v>1126</v>
      </c>
      <c r="B147" s="717" t="s">
        <v>1488</v>
      </c>
      <c r="C147" s="718"/>
      <c r="D147" s="530" t="s">
        <v>1489</v>
      </c>
      <c r="E147" s="530" t="s">
        <v>1490</v>
      </c>
      <c r="F147" s="715"/>
      <c r="G147" s="530" t="s">
        <v>1497</v>
      </c>
      <c r="H147" s="530" t="s">
        <v>500</v>
      </c>
      <c r="I147" s="715"/>
    </row>
    <row r="148" spans="1:9">
      <c r="A148" s="190"/>
      <c r="B148" s="527" t="s">
        <v>1505</v>
      </c>
      <c r="C148" s="530"/>
      <c r="D148" s="551" t="s">
        <v>88</v>
      </c>
      <c r="E148" s="551" t="s">
        <v>88</v>
      </c>
      <c r="F148" s="551" t="s">
        <v>88</v>
      </c>
      <c r="G148" s="551" t="s">
        <v>88</v>
      </c>
      <c r="H148" s="551" t="s">
        <v>88</v>
      </c>
      <c r="I148" s="551" t="s">
        <v>91</v>
      </c>
    </row>
    <row r="149" spans="1:9">
      <c r="A149" s="190"/>
      <c r="B149" s="527" t="s">
        <v>1507</v>
      </c>
      <c r="C149" s="530"/>
      <c r="D149" s="530" t="s">
        <v>88</v>
      </c>
      <c r="E149" s="530"/>
      <c r="F149" s="530" t="s">
        <v>1508</v>
      </c>
      <c r="G149" s="530"/>
      <c r="H149" s="530"/>
      <c r="I149" s="530" t="s">
        <v>88</v>
      </c>
    </row>
    <row r="150" spans="1:9">
      <c r="A150" s="190"/>
      <c r="B150" s="527" t="s">
        <v>1509</v>
      </c>
      <c r="C150" s="530"/>
      <c r="D150" s="530" t="s">
        <v>88</v>
      </c>
      <c r="E150" s="530" t="s">
        <v>88</v>
      </c>
      <c r="F150" s="530" t="s">
        <v>89</v>
      </c>
      <c r="G150" s="530"/>
      <c r="H150" s="530" t="s">
        <v>89</v>
      </c>
      <c r="I150" s="530">
        <v>0</v>
      </c>
    </row>
    <row r="151" spans="1:9">
      <c r="A151" s="190"/>
      <c r="B151" s="719" t="s">
        <v>1510</v>
      </c>
      <c r="C151" s="720"/>
      <c r="D151" s="530" t="s">
        <v>88</v>
      </c>
      <c r="E151" s="530" t="s">
        <v>89</v>
      </c>
      <c r="F151" s="530"/>
      <c r="G151" s="530"/>
      <c r="H151" s="530"/>
      <c r="I151" s="530">
        <v>0</v>
      </c>
    </row>
    <row r="152" spans="1:9">
      <c r="A152" s="190"/>
      <c r="B152" s="719" t="s">
        <v>1511</v>
      </c>
      <c r="C152" s="720"/>
      <c r="D152" s="530"/>
      <c r="E152" s="530"/>
      <c r="F152" s="530"/>
      <c r="G152" s="530"/>
      <c r="H152" s="530" t="s">
        <v>89</v>
      </c>
      <c r="I152" s="530" t="s">
        <v>89</v>
      </c>
    </row>
    <row r="153" spans="1:9">
      <c r="A153" s="190"/>
      <c r="B153" s="719" t="s">
        <v>467</v>
      </c>
      <c r="C153" s="720"/>
      <c r="D153" s="530"/>
      <c r="E153" s="530"/>
      <c r="F153" s="530"/>
      <c r="G153" s="530"/>
      <c r="H153" s="530" t="s">
        <v>88</v>
      </c>
      <c r="I153" s="530" t="s">
        <v>88</v>
      </c>
    </row>
    <row r="154" spans="1:9">
      <c r="A154" s="190"/>
      <c r="B154" s="549" t="s">
        <v>1512</v>
      </c>
      <c r="C154" s="550"/>
      <c r="D154" s="530"/>
      <c r="E154" s="530"/>
      <c r="F154" s="530"/>
      <c r="G154" s="530" t="s">
        <v>88</v>
      </c>
      <c r="H154" s="530" t="s">
        <v>89</v>
      </c>
      <c r="I154" s="530">
        <v>0</v>
      </c>
    </row>
    <row r="155" spans="1:9">
      <c r="A155" s="190"/>
      <c r="B155" s="549" t="s">
        <v>1513</v>
      </c>
      <c r="C155" s="550"/>
      <c r="D155" s="530"/>
      <c r="E155" s="530"/>
      <c r="F155" s="530"/>
      <c r="G155" s="530" t="s">
        <v>89</v>
      </c>
      <c r="H155" s="530" t="s">
        <v>88</v>
      </c>
      <c r="I155" s="530">
        <v>0</v>
      </c>
    </row>
    <row r="156" spans="1:9">
      <c r="A156" s="190"/>
      <c r="B156" s="527" t="s">
        <v>1514</v>
      </c>
      <c r="C156" s="530"/>
      <c r="D156" s="551" t="s">
        <v>91</v>
      </c>
      <c r="E156" s="551" t="s">
        <v>91</v>
      </c>
      <c r="F156" s="551" t="s">
        <v>91</v>
      </c>
      <c r="G156" s="551" t="s">
        <v>91</v>
      </c>
      <c r="H156" s="551" t="s">
        <v>91</v>
      </c>
      <c r="I156" s="551" t="s">
        <v>91</v>
      </c>
    </row>
    <row r="159" spans="1:9">
      <c r="A159" s="63" t="s">
        <v>1491</v>
      </c>
    </row>
    <row r="160" spans="1:9">
      <c r="A160" s="63" t="s">
        <v>1492</v>
      </c>
    </row>
    <row r="161" spans="1:8">
      <c r="A161" s="63" t="s">
        <v>1493</v>
      </c>
    </row>
    <row r="162" spans="1:8">
      <c r="A162" s="63" t="s">
        <v>1494</v>
      </c>
    </row>
    <row r="163" spans="1:8">
      <c r="A163" s="63" t="s">
        <v>1495</v>
      </c>
    </row>
    <row r="164" spans="1:8">
      <c r="A164" s="63" t="s">
        <v>1498</v>
      </c>
    </row>
    <row r="165" spans="1:8">
      <c r="A165" s="63" t="s">
        <v>1499</v>
      </c>
    </row>
    <row r="166" spans="1:8">
      <c r="A166" s="63" t="s">
        <v>1500</v>
      </c>
    </row>
    <row r="167" spans="1:8">
      <c r="A167" s="63" t="s">
        <v>1502</v>
      </c>
    </row>
    <row r="168" spans="1:8">
      <c r="A168" s="63" t="s">
        <v>1503</v>
      </c>
    </row>
    <row r="169" spans="1:8">
      <c r="A169" s="63" t="s">
        <v>1504</v>
      </c>
    </row>
    <row r="172" spans="1:8">
      <c r="A172" s="565" t="s">
        <v>1658</v>
      </c>
      <c r="B172" s="566"/>
      <c r="C172" s="566"/>
      <c r="D172" s="566"/>
      <c r="E172" s="566"/>
      <c r="F172" s="566"/>
      <c r="G172" s="566"/>
      <c r="H172" s="566"/>
    </row>
    <row r="173" spans="1:8">
      <c r="A173" s="63" t="s">
        <v>1572</v>
      </c>
    </row>
    <row r="174" spans="1:8">
      <c r="A174" s="63" t="s">
        <v>1573</v>
      </c>
    </row>
    <row r="175" spans="1:8">
      <c r="A175" s="63" t="s">
        <v>1574</v>
      </c>
    </row>
    <row r="176" spans="1:8">
      <c r="A176" s="63" t="s">
        <v>1575</v>
      </c>
    </row>
    <row r="177" spans="1:8">
      <c r="A177" s="63" t="s">
        <v>1576</v>
      </c>
    </row>
    <row r="178" spans="1:8" ht="17" thickBot="1"/>
    <row r="179" spans="1:8" ht="17" thickBot="1">
      <c r="A179" s="555" t="s">
        <v>1577</v>
      </c>
      <c r="B179" s="556"/>
      <c r="C179" s="556"/>
      <c r="D179" s="556"/>
      <c r="E179" s="556"/>
      <c r="F179" s="556"/>
      <c r="G179" s="556"/>
      <c r="H179" s="557"/>
    </row>
    <row r="181" spans="1:8">
      <c r="A181" s="63" t="s">
        <v>1515</v>
      </c>
    </row>
    <row r="183" spans="1:8">
      <c r="A183" s="63" t="s">
        <v>1516</v>
      </c>
      <c r="D183" s="63" t="s">
        <v>1517</v>
      </c>
      <c r="E183" s="63" t="s">
        <v>1518</v>
      </c>
    </row>
    <row r="184" spans="1:8">
      <c r="A184" s="534"/>
      <c r="B184" s="534"/>
      <c r="C184" s="534"/>
      <c r="D184" s="534" t="s">
        <v>1044</v>
      </c>
      <c r="E184" s="534" t="s">
        <v>1044</v>
      </c>
      <c r="F184" s="534"/>
    </row>
    <row r="185" spans="1:8">
      <c r="A185" s="63" t="s">
        <v>1578</v>
      </c>
      <c r="D185" s="64">
        <v>4000000</v>
      </c>
      <c r="E185" s="64">
        <v>400000</v>
      </c>
    </row>
    <row r="186" spans="1:8">
      <c r="A186" s="63" t="s">
        <v>1526</v>
      </c>
      <c r="D186" s="64">
        <v>5000000</v>
      </c>
      <c r="E186" s="64">
        <v>800000</v>
      </c>
      <c r="G186" s="63" t="s">
        <v>1579</v>
      </c>
    </row>
    <row r="187" spans="1:8">
      <c r="A187" s="63" t="s">
        <v>1519</v>
      </c>
      <c r="D187" s="64"/>
      <c r="E187" s="64">
        <v>850000</v>
      </c>
      <c r="G187" s="63" t="s">
        <v>1580</v>
      </c>
    </row>
    <row r="188" spans="1:8">
      <c r="A188" s="63" t="s">
        <v>1520</v>
      </c>
      <c r="D188" s="64"/>
      <c r="E188" s="64">
        <v>190000</v>
      </c>
      <c r="G188" s="63" t="s">
        <v>1581</v>
      </c>
    </row>
    <row r="189" spans="1:8">
      <c r="A189" s="63" t="s">
        <v>1521</v>
      </c>
      <c r="D189" s="64"/>
      <c r="E189" s="64">
        <v>1400000</v>
      </c>
      <c r="G189" s="63" t="s">
        <v>1582</v>
      </c>
    </row>
    <row r="190" spans="1:8">
      <c r="A190" s="63" t="s">
        <v>436</v>
      </c>
      <c r="D190" s="64"/>
      <c r="E190" s="511">
        <f>SUM(E185:E189)</f>
        <v>3640000</v>
      </c>
      <c r="H190"/>
    </row>
    <row r="191" spans="1:8">
      <c r="H191"/>
    </row>
    <row r="192" spans="1:8">
      <c r="A192" s="63" t="s">
        <v>1522</v>
      </c>
      <c r="H192"/>
    </row>
    <row r="193" spans="1:8">
      <c r="A193" s="63">
        <v>1</v>
      </c>
      <c r="B193" s="63" t="s">
        <v>1523</v>
      </c>
      <c r="H193"/>
    </row>
    <row r="194" spans="1:8">
      <c r="B194" s="63" t="s">
        <v>1524</v>
      </c>
      <c r="H194"/>
    </row>
    <row r="195" spans="1:8">
      <c r="A195" s="63">
        <v>2</v>
      </c>
      <c r="B195" s="63" t="s">
        <v>1525</v>
      </c>
      <c r="H195"/>
    </row>
    <row r="196" spans="1:8">
      <c r="B196" s="63" t="s">
        <v>1527</v>
      </c>
      <c r="H196"/>
    </row>
    <row r="197" spans="1:8">
      <c r="A197" s="63">
        <v>3</v>
      </c>
      <c r="B197" s="63" t="s">
        <v>1528</v>
      </c>
      <c r="H197"/>
    </row>
    <row r="198" spans="1:8">
      <c r="B198" s="63" t="s">
        <v>1529</v>
      </c>
      <c r="H198"/>
    </row>
    <row r="199" spans="1:8">
      <c r="B199" s="63" t="s">
        <v>1530</v>
      </c>
      <c r="H199"/>
    </row>
    <row r="200" spans="1:8">
      <c r="B200" s="63" t="s">
        <v>1531</v>
      </c>
      <c r="H200"/>
    </row>
    <row r="201" spans="1:8">
      <c r="A201" s="63">
        <v>4</v>
      </c>
      <c r="B201" s="63" t="s">
        <v>1532</v>
      </c>
      <c r="H201"/>
    </row>
    <row r="202" spans="1:8">
      <c r="B202" s="63" t="s">
        <v>1533</v>
      </c>
      <c r="H202"/>
    </row>
    <row r="203" spans="1:8">
      <c r="A203" s="63">
        <v>5</v>
      </c>
      <c r="B203" s="63" t="s">
        <v>1534</v>
      </c>
      <c r="H203"/>
    </row>
    <row r="204" spans="1:8">
      <c r="B204" s="63" t="s">
        <v>1535</v>
      </c>
      <c r="H204"/>
    </row>
    <row r="205" spans="1:8">
      <c r="A205" s="63">
        <v>6</v>
      </c>
      <c r="B205" s="63" t="s">
        <v>1536</v>
      </c>
      <c r="H205"/>
    </row>
    <row r="206" spans="1:8">
      <c r="A206" s="63">
        <v>7</v>
      </c>
      <c r="B206" s="63" t="s">
        <v>1537</v>
      </c>
      <c r="H206"/>
    </row>
    <row r="207" spans="1:8">
      <c r="A207" s="63">
        <v>8</v>
      </c>
      <c r="B207" s="63" t="s">
        <v>1538</v>
      </c>
      <c r="H207"/>
    </row>
    <row r="208" spans="1:8">
      <c r="A208" s="63">
        <v>9</v>
      </c>
      <c r="B208" s="63" t="s">
        <v>1539</v>
      </c>
      <c r="H208"/>
    </row>
    <row r="209" spans="1:8">
      <c r="A209" s="63">
        <v>10</v>
      </c>
      <c r="B209" s="63" t="s">
        <v>1540</v>
      </c>
      <c r="H209"/>
    </row>
    <row r="210" spans="1:8">
      <c r="H210"/>
    </row>
    <row r="211" spans="1:8">
      <c r="A211" s="63" t="s">
        <v>1541</v>
      </c>
      <c r="H211"/>
    </row>
    <row r="212" spans="1:8" ht="17" thickBot="1">
      <c r="H212"/>
    </row>
    <row r="213" spans="1:8" ht="17" thickBot="1">
      <c r="A213" s="558" t="s">
        <v>1108</v>
      </c>
      <c r="B213" s="559"/>
      <c r="C213" s="559"/>
      <c r="D213" s="559"/>
      <c r="E213" s="559"/>
      <c r="F213" s="559"/>
      <c r="G213" s="559"/>
      <c r="H213" s="560"/>
    </row>
    <row r="214" spans="1:8">
      <c r="H214"/>
    </row>
    <row r="215" spans="1:8">
      <c r="A215" s="63" t="s">
        <v>1583</v>
      </c>
      <c r="H215"/>
    </row>
    <row r="216" spans="1:8">
      <c r="H216"/>
    </row>
    <row r="217" spans="1:8">
      <c r="A217" s="5"/>
      <c r="B217" s="5"/>
      <c r="C217" s="508" t="s">
        <v>1584</v>
      </c>
      <c r="D217" s="508" t="s">
        <v>1584</v>
      </c>
      <c r="E217" s="508" t="s">
        <v>540</v>
      </c>
      <c r="F217" s="508"/>
      <c r="G217" s="508"/>
      <c r="H217" s="564"/>
    </row>
    <row r="218" spans="1:8">
      <c r="A218" s="5"/>
      <c r="B218" s="5"/>
      <c r="C218" s="508" t="s">
        <v>1585</v>
      </c>
      <c r="D218" s="508" t="s">
        <v>1585</v>
      </c>
      <c r="E218" s="508" t="s">
        <v>1589</v>
      </c>
      <c r="F218" s="508" t="s">
        <v>1591</v>
      </c>
      <c r="G218" s="508" t="s">
        <v>1615</v>
      </c>
      <c r="H218" s="564"/>
    </row>
    <row r="219" spans="1:8">
      <c r="A219" s="5"/>
      <c r="B219" s="5"/>
      <c r="C219" s="508" t="s">
        <v>1586</v>
      </c>
      <c r="D219" s="508" t="s">
        <v>1588</v>
      </c>
      <c r="E219" s="508" t="s">
        <v>1584</v>
      </c>
      <c r="F219" s="508" t="s">
        <v>1592</v>
      </c>
      <c r="G219" s="508" t="s">
        <v>1593</v>
      </c>
      <c r="H219" s="564"/>
    </row>
    <row r="220" spans="1:8">
      <c r="A220" s="561" t="s">
        <v>1126</v>
      </c>
      <c r="B220" s="562" t="s">
        <v>1127</v>
      </c>
      <c r="C220" s="509" t="s">
        <v>1587</v>
      </c>
      <c r="D220" s="509" t="s">
        <v>1587</v>
      </c>
      <c r="E220" s="509" t="s">
        <v>1590</v>
      </c>
      <c r="F220" s="509" t="s">
        <v>1497</v>
      </c>
      <c r="G220" s="509" t="s">
        <v>1594</v>
      </c>
      <c r="H220" s="509" t="s">
        <v>436</v>
      </c>
    </row>
    <row r="221" spans="1:8">
      <c r="A221" s="535" t="s">
        <v>1595</v>
      </c>
      <c r="B221" s="63" t="s">
        <v>1596</v>
      </c>
      <c r="C221" s="500">
        <v>400000</v>
      </c>
      <c r="D221" s="500">
        <v>800000</v>
      </c>
      <c r="E221" s="500">
        <v>850000</v>
      </c>
      <c r="F221" s="500">
        <v>190000</v>
      </c>
      <c r="G221" s="500">
        <v>1400000</v>
      </c>
      <c r="H221" s="500">
        <f>SUM(C221:G221)</f>
        <v>3640000</v>
      </c>
    </row>
    <row r="222" spans="1:8">
      <c r="A222" s="535" t="s">
        <v>1597</v>
      </c>
      <c r="B222" s="63" t="s">
        <v>1598</v>
      </c>
      <c r="C222" s="500">
        <f>200000*1</f>
        <v>200000</v>
      </c>
      <c r="D222" s="500"/>
      <c r="E222" s="500">
        <f>H222-C222</f>
        <v>340000</v>
      </c>
      <c r="F222" s="500"/>
      <c r="G222" s="500"/>
      <c r="H222" s="500">
        <f>200000*3*(1-10%)</f>
        <v>540000</v>
      </c>
    </row>
    <row r="223" spans="1:8">
      <c r="A223" s="535" t="s">
        <v>1606</v>
      </c>
      <c r="B223" s="63" t="s">
        <v>1607</v>
      </c>
      <c r="C223" s="500">
        <f>15%*(400000+200000)</f>
        <v>90000</v>
      </c>
      <c r="D223" s="500">
        <f>15%*800000</f>
        <v>120000</v>
      </c>
      <c r="E223" s="500">
        <f>H223-C223-D223</f>
        <v>-210000</v>
      </c>
      <c r="F223" s="500"/>
      <c r="G223" s="500"/>
      <c r="H223" s="500">
        <v>0</v>
      </c>
    </row>
    <row r="224" spans="1:8">
      <c r="A224" s="535" t="s">
        <v>1616</v>
      </c>
      <c r="B224" s="3" t="s">
        <v>1624</v>
      </c>
      <c r="C224" s="500">
        <f>10%*(400000+200000+90000)</f>
        <v>69000</v>
      </c>
      <c r="D224" s="500"/>
      <c r="E224" s="500">
        <f>-C224</f>
        <v>-69000</v>
      </c>
      <c r="F224" s="64"/>
      <c r="G224" s="64"/>
      <c r="H224" s="500">
        <v>0</v>
      </c>
    </row>
    <row r="225" spans="1:8">
      <c r="A225" s="535" t="s">
        <v>1616</v>
      </c>
      <c r="B225" s="63" t="s">
        <v>1617</v>
      </c>
      <c r="C225" s="500">
        <f>-D225</f>
        <v>920000</v>
      </c>
      <c r="D225" s="500">
        <f>-120000-800000</f>
        <v>-920000</v>
      </c>
      <c r="E225" s="500"/>
      <c r="F225" s="64"/>
      <c r="G225" s="64"/>
      <c r="H225" s="500">
        <v>0</v>
      </c>
    </row>
    <row r="226" spans="1:8">
      <c r="A226" s="63">
        <v>2024</v>
      </c>
      <c r="B226" s="63" t="s">
        <v>467</v>
      </c>
      <c r="C226" s="64"/>
      <c r="D226" s="64"/>
      <c r="E226" s="64"/>
      <c r="F226" s="64"/>
      <c r="G226" s="64">
        <v>750000</v>
      </c>
      <c r="H226" s="64">
        <f>G226</f>
        <v>750000</v>
      </c>
    </row>
    <row r="227" spans="1:8">
      <c r="A227" s="535" t="s">
        <v>1641</v>
      </c>
      <c r="B227" s="63" t="s">
        <v>123</v>
      </c>
      <c r="C227" s="64"/>
      <c r="D227" s="64"/>
      <c r="E227" s="64"/>
      <c r="F227" s="64"/>
      <c r="G227" s="500">
        <f>-10%*(400000+200000+90000+69000+920000)</f>
        <v>-167900</v>
      </c>
      <c r="H227" s="500">
        <f>G227</f>
        <v>-167900</v>
      </c>
    </row>
    <row r="228" spans="1:8">
      <c r="A228" s="535" t="s">
        <v>1641</v>
      </c>
      <c r="B228" s="63" t="s">
        <v>1647</v>
      </c>
      <c r="C228" s="64"/>
      <c r="D228" s="64"/>
      <c r="E228" s="64"/>
      <c r="F228" s="500">
        <f>-F221</f>
        <v>-190000</v>
      </c>
      <c r="G228" s="500">
        <f>-F228</f>
        <v>190000</v>
      </c>
      <c r="H228" s="64">
        <v>0</v>
      </c>
    </row>
    <row r="229" spans="1:8">
      <c r="A229" s="535" t="s">
        <v>1641</v>
      </c>
      <c r="B229" s="63" t="s">
        <v>1657</v>
      </c>
      <c r="C229" s="563">
        <f>SUM(C221:C228)</f>
        <v>1679000</v>
      </c>
      <c r="D229" s="563">
        <f>SUM(D221:D228)</f>
        <v>0</v>
      </c>
      <c r="E229" s="563">
        <f>SUM(E221:E228)</f>
        <v>911000</v>
      </c>
      <c r="F229" s="563">
        <f>SUM(F221:F228)</f>
        <v>0</v>
      </c>
      <c r="G229" s="563">
        <f>SUM(G221:G228)</f>
        <v>2172100</v>
      </c>
      <c r="H229" s="563">
        <f>SUM(H221:H228)</f>
        <v>4762100</v>
      </c>
    </row>
    <row r="230" spans="1:8">
      <c r="C230" s="64"/>
      <c r="D230" s="64"/>
      <c r="E230" s="64"/>
      <c r="F230" s="64"/>
      <c r="G230" s="64"/>
      <c r="H230" s="64"/>
    </row>
    <row r="231" spans="1:8">
      <c r="A231" s="63" t="s">
        <v>1599</v>
      </c>
      <c r="H231"/>
    </row>
    <row r="232" spans="1:8">
      <c r="A232" s="63" t="s">
        <v>1600</v>
      </c>
      <c r="H232"/>
    </row>
    <row r="233" spans="1:8">
      <c r="B233" s="63" t="s">
        <v>1601</v>
      </c>
      <c r="H233"/>
    </row>
    <row r="234" spans="1:8">
      <c r="B234" s="63" t="s">
        <v>1602</v>
      </c>
      <c r="H234"/>
    </row>
    <row r="235" spans="1:8">
      <c r="B235" s="63" t="s">
        <v>1603</v>
      </c>
      <c r="H235"/>
    </row>
    <row r="236" spans="1:8">
      <c r="B236" s="63" t="s">
        <v>1604</v>
      </c>
      <c r="H236"/>
    </row>
    <row r="237" spans="1:8">
      <c r="B237" s="63" t="s">
        <v>1605</v>
      </c>
      <c r="H237"/>
    </row>
    <row r="238" spans="1:8">
      <c r="H238"/>
    </row>
    <row r="239" spans="1:8">
      <c r="A239" s="63" t="s">
        <v>1608</v>
      </c>
      <c r="H239"/>
    </row>
    <row r="240" spans="1:8">
      <c r="B240" s="63" t="s">
        <v>1609</v>
      </c>
      <c r="H240"/>
    </row>
    <row r="241" spans="1:8">
      <c r="B241" s="63" t="s">
        <v>1610</v>
      </c>
      <c r="H241"/>
    </row>
    <row r="242" spans="1:8">
      <c r="B242" s="63" t="s">
        <v>1611</v>
      </c>
      <c r="H242"/>
    </row>
    <row r="243" spans="1:8">
      <c r="B243" s="63" t="s">
        <v>1612</v>
      </c>
      <c r="H243"/>
    </row>
    <row r="244" spans="1:8">
      <c r="B244" s="63" t="s">
        <v>1613</v>
      </c>
      <c r="H244"/>
    </row>
    <row r="245" spans="1:8">
      <c r="B245" s="63" t="s">
        <v>1614</v>
      </c>
      <c r="H245"/>
    </row>
    <row r="246" spans="1:8">
      <c r="H246"/>
    </row>
    <row r="247" spans="1:8">
      <c r="A247" s="63" t="s">
        <v>1618</v>
      </c>
      <c r="H247"/>
    </row>
    <row r="248" spans="1:8">
      <c r="B248" s="63" t="s">
        <v>1619</v>
      </c>
      <c r="H248"/>
    </row>
    <row r="249" spans="1:8">
      <c r="B249" s="63" t="s">
        <v>1620</v>
      </c>
      <c r="H249"/>
    </row>
    <row r="250" spans="1:8">
      <c r="B250" s="63" t="s">
        <v>1621</v>
      </c>
      <c r="H250"/>
    </row>
    <row r="251" spans="1:8">
      <c r="B251" s="63" t="s">
        <v>1622</v>
      </c>
      <c r="H251"/>
    </row>
    <row r="252" spans="1:8">
      <c r="B252" s="63" t="s">
        <v>1623</v>
      </c>
      <c r="H252"/>
    </row>
    <row r="253" spans="1:8">
      <c r="H253"/>
    </row>
    <row r="254" spans="1:8">
      <c r="A254" s="63" t="s">
        <v>1625</v>
      </c>
      <c r="H254"/>
    </row>
    <row r="255" spans="1:8">
      <c r="B255" s="63" t="s">
        <v>1626</v>
      </c>
      <c r="H255"/>
    </row>
    <row r="256" spans="1:8">
      <c r="B256" s="63" t="s">
        <v>1627</v>
      </c>
      <c r="H256"/>
    </row>
    <row r="257" spans="1:8">
      <c r="B257" s="63" t="s">
        <v>1628</v>
      </c>
      <c r="H257"/>
    </row>
    <row r="258" spans="1:8">
      <c r="B258" s="63" t="s">
        <v>1629</v>
      </c>
      <c r="H258"/>
    </row>
    <row r="259" spans="1:8">
      <c r="H259"/>
    </row>
    <row r="260" spans="1:8">
      <c r="A260" s="63" t="s">
        <v>1630</v>
      </c>
      <c r="H260"/>
    </row>
    <row r="261" spans="1:8">
      <c r="B261" s="63" t="s">
        <v>1633</v>
      </c>
      <c r="H261"/>
    </row>
    <row r="262" spans="1:8">
      <c r="B262" s="63" t="s">
        <v>1631</v>
      </c>
      <c r="H262"/>
    </row>
    <row r="263" spans="1:8">
      <c r="B263" s="63" t="s">
        <v>1632</v>
      </c>
      <c r="H263"/>
    </row>
    <row r="264" spans="1:8">
      <c r="B264" s="63" t="s">
        <v>1634</v>
      </c>
      <c r="H264"/>
    </row>
    <row r="265" spans="1:8">
      <c r="B265" s="63" t="s">
        <v>1635</v>
      </c>
      <c r="H265"/>
    </row>
    <row r="266" spans="1:8">
      <c r="B266" s="63" t="s">
        <v>1638</v>
      </c>
      <c r="H266"/>
    </row>
    <row r="267" spans="1:8">
      <c r="B267" s="63" t="s">
        <v>1636</v>
      </c>
      <c r="H267"/>
    </row>
    <row r="268" spans="1:8">
      <c r="B268" s="63" t="s">
        <v>1637</v>
      </c>
      <c r="H268"/>
    </row>
    <row r="269" spans="1:8">
      <c r="H269"/>
    </row>
    <row r="270" spans="1:8">
      <c r="A270" s="63" t="s">
        <v>259</v>
      </c>
      <c r="H270"/>
    </row>
    <row r="271" spans="1:8">
      <c r="B271" s="63" t="s">
        <v>1639</v>
      </c>
      <c r="H271"/>
    </row>
    <row r="272" spans="1:8">
      <c r="B272" s="63" t="s">
        <v>1640</v>
      </c>
      <c r="H272"/>
    </row>
    <row r="273" spans="1:8">
      <c r="H273"/>
    </row>
    <row r="274" spans="1:8">
      <c r="A274" s="63" t="s">
        <v>1642</v>
      </c>
      <c r="H274"/>
    </row>
    <row r="275" spans="1:8">
      <c r="B275" s="63" t="s">
        <v>1643</v>
      </c>
      <c r="H275"/>
    </row>
    <row r="276" spans="1:8">
      <c r="B276" s="63" t="s">
        <v>1644</v>
      </c>
      <c r="H276"/>
    </row>
    <row r="277" spans="1:8">
      <c r="B277" s="63" t="s">
        <v>1645</v>
      </c>
      <c r="H277"/>
    </row>
    <row r="278" spans="1:8">
      <c r="B278" s="63" t="s">
        <v>1646</v>
      </c>
      <c r="H278"/>
    </row>
    <row r="279" spans="1:8">
      <c r="H279"/>
    </row>
    <row r="280" spans="1:8">
      <c r="A280" s="63" t="s">
        <v>1648</v>
      </c>
      <c r="H280"/>
    </row>
    <row r="281" spans="1:8">
      <c r="B281" s="63" t="s">
        <v>1649</v>
      </c>
      <c r="H281"/>
    </row>
    <row r="282" spans="1:8">
      <c r="B282" s="63" t="s">
        <v>1650</v>
      </c>
      <c r="H282"/>
    </row>
    <row r="283" spans="1:8">
      <c r="B283" s="63" t="s">
        <v>1651</v>
      </c>
      <c r="H283"/>
    </row>
    <row r="284" spans="1:8">
      <c r="B284" s="63" t="s">
        <v>1652</v>
      </c>
      <c r="H284"/>
    </row>
    <row r="285" spans="1:8">
      <c r="B285" s="63" t="s">
        <v>1653</v>
      </c>
      <c r="H285"/>
    </row>
    <row r="286" spans="1:8">
      <c r="B286" s="63" t="s">
        <v>1654</v>
      </c>
      <c r="H286"/>
    </row>
    <row r="287" spans="1:8">
      <c r="B287" s="63" t="s">
        <v>1655</v>
      </c>
      <c r="H287"/>
    </row>
    <row r="288" spans="1:8">
      <c r="B288" s="63" t="s">
        <v>1656</v>
      </c>
      <c r="H288"/>
    </row>
    <row r="289" spans="1:9">
      <c r="H289"/>
    </row>
    <row r="290" spans="1:9" s="2" customFormat="1">
      <c r="A290" s="730" t="s">
        <v>2324</v>
      </c>
      <c r="B290" s="730"/>
      <c r="C290" s="730"/>
      <c r="D290" s="730"/>
      <c r="E290" s="730"/>
      <c r="F290" s="730"/>
      <c r="G290" s="730"/>
      <c r="H290" s="730"/>
    </row>
    <row r="291" spans="1:9" s="2" customFormat="1"/>
    <row r="292" spans="1:9" s="2" customFormat="1">
      <c r="A292" s="2" t="s">
        <v>2181</v>
      </c>
    </row>
    <row r="293" spans="1:9" s="2" customFormat="1"/>
    <row r="294" spans="1:9" s="2" customFormat="1">
      <c r="B294" s="89" t="s">
        <v>1516</v>
      </c>
      <c r="C294" s="89"/>
      <c r="D294" s="89"/>
      <c r="E294" s="89" t="s">
        <v>2182</v>
      </c>
      <c r="F294" s="89" t="s">
        <v>2183</v>
      </c>
      <c r="H294" s="731"/>
    </row>
    <row r="295" spans="1:9" s="2" customFormat="1">
      <c r="B295" s="2" t="s">
        <v>2184</v>
      </c>
      <c r="E295" s="98">
        <v>3000000</v>
      </c>
      <c r="F295" s="98">
        <v>300000</v>
      </c>
      <c r="H295" s="731"/>
    </row>
    <row r="296" spans="1:9" s="2" customFormat="1">
      <c r="B296" s="2" t="s">
        <v>2185</v>
      </c>
      <c r="E296" s="98">
        <v>5000000</v>
      </c>
      <c r="F296" s="98">
        <v>600000</v>
      </c>
      <c r="H296" s="731"/>
    </row>
    <row r="297" spans="1:9" s="2" customFormat="1">
      <c r="B297" s="2" t="s">
        <v>2186</v>
      </c>
      <c r="E297" s="98"/>
      <c r="F297" s="98">
        <v>50000</v>
      </c>
      <c r="H297" s="731"/>
    </row>
    <row r="298" spans="1:9" s="2" customFormat="1">
      <c r="B298" s="2" t="s">
        <v>2187</v>
      </c>
      <c r="E298" s="98"/>
      <c r="F298" s="98">
        <v>400000</v>
      </c>
      <c r="H298" s="731"/>
    </row>
    <row r="299" spans="1:9" s="2" customFormat="1">
      <c r="B299" s="2" t="s">
        <v>2188</v>
      </c>
      <c r="E299" s="98"/>
      <c r="F299" s="98">
        <v>300000</v>
      </c>
      <c r="H299" s="731"/>
    </row>
    <row r="300" spans="1:9" s="2" customFormat="1">
      <c r="B300" s="2" t="s">
        <v>1501</v>
      </c>
      <c r="E300" s="98"/>
      <c r="F300" s="98">
        <v>2000000</v>
      </c>
    </row>
    <row r="301" spans="1:9" s="2" customFormat="1">
      <c r="E301" s="98"/>
      <c r="F301" s="732">
        <f>SUM(F295:F300)</f>
        <v>3650000</v>
      </c>
    </row>
    <row r="302" spans="1:9" s="2" customFormat="1"/>
    <row r="303" spans="1:9" s="2" customFormat="1">
      <c r="I303" s="2" t="s">
        <v>2189</v>
      </c>
    </row>
    <row r="304" spans="1:9" s="2" customFormat="1"/>
    <row r="305" spans="1:18" s="2" customFormat="1">
      <c r="K305" s="34" t="s">
        <v>197</v>
      </c>
      <c r="L305" s="34" t="s">
        <v>197</v>
      </c>
      <c r="M305" s="34" t="s">
        <v>197</v>
      </c>
      <c r="N305" s="34"/>
      <c r="O305" s="34"/>
      <c r="P305" s="34"/>
      <c r="Q305" s="42"/>
      <c r="R305" s="34"/>
    </row>
    <row r="306" spans="1:18" s="2" customFormat="1">
      <c r="K306" s="34" t="s">
        <v>1590</v>
      </c>
      <c r="L306" s="34" t="s">
        <v>1590</v>
      </c>
      <c r="M306" s="34" t="s">
        <v>2190</v>
      </c>
      <c r="N306" s="34"/>
      <c r="O306" s="34"/>
      <c r="P306" s="34"/>
      <c r="Q306" s="42"/>
      <c r="R306" s="34"/>
    </row>
    <row r="307" spans="1:18" s="2" customFormat="1">
      <c r="A307" s="4" t="s">
        <v>1743</v>
      </c>
      <c r="K307" s="34" t="s">
        <v>1586</v>
      </c>
      <c r="L307" s="34" t="s">
        <v>2191</v>
      </c>
      <c r="M307" s="34" t="s">
        <v>2192</v>
      </c>
      <c r="N307" s="34" t="s">
        <v>2193</v>
      </c>
      <c r="O307" s="34" t="s">
        <v>2194</v>
      </c>
      <c r="P307" s="34" t="s">
        <v>1501</v>
      </c>
      <c r="Q307" s="42" t="s">
        <v>2195</v>
      </c>
      <c r="R307" s="34"/>
    </row>
    <row r="308" spans="1:18" s="2" customFormat="1">
      <c r="A308" s="2" t="s">
        <v>2196</v>
      </c>
      <c r="E308" s="737" t="s">
        <v>2197</v>
      </c>
      <c r="I308" s="89" t="s">
        <v>2198</v>
      </c>
      <c r="J308" s="89" t="s">
        <v>1901</v>
      </c>
      <c r="K308" s="90" t="s">
        <v>2199</v>
      </c>
      <c r="L308" s="90" t="s">
        <v>2199</v>
      </c>
      <c r="M308" s="733">
        <v>0.1</v>
      </c>
      <c r="N308" s="90" t="s">
        <v>2200</v>
      </c>
      <c r="O308" s="90" t="s">
        <v>1497</v>
      </c>
      <c r="P308" s="90" t="s">
        <v>500</v>
      </c>
      <c r="Q308" s="168" t="s">
        <v>2201</v>
      </c>
      <c r="R308" s="90" t="s">
        <v>436</v>
      </c>
    </row>
    <row r="309" spans="1:18" s="2" customFormat="1">
      <c r="A309" s="2" t="s">
        <v>2202</v>
      </c>
      <c r="E309" s="737" t="s">
        <v>2203</v>
      </c>
      <c r="I309" s="39" t="s">
        <v>960</v>
      </c>
      <c r="J309" s="39" t="s">
        <v>1596</v>
      </c>
      <c r="K309" s="167">
        <f>F295</f>
        <v>300000</v>
      </c>
      <c r="L309" s="167">
        <f>F296</f>
        <v>600000</v>
      </c>
      <c r="M309" s="167">
        <f>F297</f>
        <v>50000</v>
      </c>
      <c r="N309" s="167">
        <f>F298</f>
        <v>400000</v>
      </c>
      <c r="O309" s="167">
        <f>F299</f>
        <v>300000</v>
      </c>
      <c r="P309" s="167">
        <f>F300</f>
        <v>2000000</v>
      </c>
      <c r="Q309" s="42"/>
      <c r="R309" s="167">
        <f>F301</f>
        <v>3650000</v>
      </c>
    </row>
    <row r="310" spans="1:18" s="2" customFormat="1">
      <c r="A310" s="2" t="s">
        <v>2204</v>
      </c>
      <c r="E310" s="737" t="s">
        <v>2325</v>
      </c>
      <c r="I310" s="39" t="s">
        <v>2066</v>
      </c>
      <c r="J310" s="39" t="s">
        <v>1598</v>
      </c>
      <c r="K310" s="167">
        <f>200000*1</f>
        <v>200000</v>
      </c>
      <c r="L310" s="477"/>
      <c r="M310" s="477"/>
      <c r="N310" s="167">
        <f>R310-K310</f>
        <v>650000</v>
      </c>
      <c r="O310" s="477"/>
      <c r="P310" s="477"/>
      <c r="Q310" s="477"/>
      <c r="R310" s="167">
        <f>200000*5*(1-15%)</f>
        <v>850000</v>
      </c>
    </row>
    <row r="311" spans="1:18" s="2" customFormat="1">
      <c r="A311" s="2" t="s">
        <v>2205</v>
      </c>
      <c r="I311" s="39" t="s">
        <v>2206</v>
      </c>
      <c r="J311" s="39" t="s">
        <v>1607</v>
      </c>
      <c r="K311" s="167">
        <f>(300000+200000)*30%</f>
        <v>150000</v>
      </c>
      <c r="L311" s="167">
        <f>L309*30%</f>
        <v>180000</v>
      </c>
      <c r="M311" s="736"/>
      <c r="N311" s="167">
        <f>0-(150000+180000)</f>
        <v>-330000</v>
      </c>
      <c r="O311" s="736"/>
      <c r="P311" s="736"/>
      <c r="Q311" s="736"/>
      <c r="R311" s="167">
        <v>0</v>
      </c>
    </row>
    <row r="312" spans="1:18" s="2" customFormat="1">
      <c r="A312" s="2" t="s">
        <v>2207</v>
      </c>
      <c r="I312" s="39" t="s">
        <v>2208</v>
      </c>
      <c r="J312" s="39" t="s">
        <v>2209</v>
      </c>
      <c r="K312" s="167">
        <f>20%*(300000+200000+150000)</f>
        <v>130000</v>
      </c>
      <c r="L312" s="477"/>
      <c r="M312" s="477"/>
      <c r="N312" s="167">
        <f>R312-K312</f>
        <v>-130000</v>
      </c>
      <c r="O312" s="477"/>
      <c r="P312" s="477"/>
      <c r="Q312" s="477"/>
      <c r="R312" s="167">
        <v>0</v>
      </c>
    </row>
    <row r="313" spans="1:18" s="2" customFormat="1">
      <c r="A313" s="2" t="s">
        <v>2210</v>
      </c>
      <c r="I313" s="39" t="s">
        <v>2211</v>
      </c>
      <c r="J313" s="39" t="s">
        <v>1617</v>
      </c>
      <c r="K313" s="167">
        <f>-L313</f>
        <v>780000</v>
      </c>
      <c r="L313" s="167">
        <f>-L311-L309</f>
        <v>-780000</v>
      </c>
      <c r="M313" s="477"/>
      <c r="N313" s="477"/>
      <c r="O313" s="477"/>
      <c r="P313" s="477"/>
      <c r="Q313" s="477"/>
      <c r="R313" s="167">
        <v>0</v>
      </c>
    </row>
    <row r="314" spans="1:18" s="2" customFormat="1">
      <c r="A314" s="2" t="s">
        <v>2212</v>
      </c>
      <c r="I314" s="39" t="s">
        <v>2213</v>
      </c>
      <c r="J314" s="39" t="s">
        <v>2214</v>
      </c>
      <c r="K314" s="477"/>
      <c r="L314" s="477"/>
      <c r="M314" s="477"/>
      <c r="N314" s="477"/>
      <c r="O314" s="477"/>
      <c r="P314" s="477"/>
      <c r="Q314" s="167">
        <f>100000*1.5</f>
        <v>150000</v>
      </c>
      <c r="R314" s="167">
        <f>Q314</f>
        <v>150000</v>
      </c>
    </row>
    <row r="315" spans="1:18" s="2" customFormat="1">
      <c r="A315" s="2" t="s">
        <v>2215</v>
      </c>
      <c r="I315" s="39" t="s">
        <v>2216</v>
      </c>
      <c r="J315" s="39" t="s">
        <v>2217</v>
      </c>
      <c r="K315" s="167">
        <f>80000*1/4*1</f>
        <v>20000</v>
      </c>
      <c r="L315" s="736"/>
      <c r="M315" s="736"/>
      <c r="N315" s="167">
        <f>R315-K315-Q315</f>
        <v>260000</v>
      </c>
      <c r="O315" s="736"/>
      <c r="P315" s="736"/>
      <c r="Q315" s="167">
        <f>-1.5*80000</f>
        <v>-120000</v>
      </c>
      <c r="R315" s="167">
        <f>80000*2</f>
        <v>160000</v>
      </c>
    </row>
    <row r="316" spans="1:18" s="2" customFormat="1">
      <c r="A316" s="2" t="s">
        <v>2218</v>
      </c>
      <c r="I316" s="39" t="s">
        <v>2219</v>
      </c>
      <c r="J316" s="39" t="s">
        <v>2220</v>
      </c>
      <c r="K316" s="477"/>
      <c r="L316" s="477"/>
      <c r="M316" s="477"/>
      <c r="N316" s="167">
        <f>-Q316</f>
        <v>30000</v>
      </c>
      <c r="O316" s="736"/>
      <c r="P316" s="736"/>
      <c r="Q316" s="167">
        <f>-30000</f>
        <v>-30000</v>
      </c>
      <c r="R316" s="167">
        <v>0</v>
      </c>
    </row>
    <row r="317" spans="1:18" s="2" customFormat="1">
      <c r="A317" s="2" t="s">
        <v>2221</v>
      </c>
      <c r="I317" s="39" t="s">
        <v>2222</v>
      </c>
      <c r="J317" s="39" t="s">
        <v>467</v>
      </c>
      <c r="K317" s="477"/>
      <c r="L317" s="477"/>
      <c r="M317" s="477"/>
      <c r="N317" s="477"/>
      <c r="O317" s="477"/>
      <c r="P317" s="673">
        <v>1500000</v>
      </c>
      <c r="Q317" s="42"/>
      <c r="R317" s="167">
        <f>P317</f>
        <v>1500000</v>
      </c>
    </row>
    <row r="318" spans="1:18" s="2" customFormat="1">
      <c r="A318" s="2" t="s">
        <v>2223</v>
      </c>
      <c r="I318" s="39" t="s">
        <v>2224</v>
      </c>
      <c r="J318" s="39" t="s">
        <v>123</v>
      </c>
      <c r="K318" s="42"/>
      <c r="L318" s="42"/>
      <c r="M318" s="42"/>
      <c r="N318" s="42"/>
      <c r="O318" s="42"/>
      <c r="P318" s="473">
        <f>-Q330</f>
        <v>-183000</v>
      </c>
      <c r="Q318" s="42"/>
      <c r="R318" s="167">
        <f>P318</f>
        <v>-183000</v>
      </c>
    </row>
    <row r="319" spans="1:18" s="2" customFormat="1">
      <c r="A319" s="2" t="s">
        <v>2225</v>
      </c>
      <c r="I319" s="39" t="s">
        <v>2226</v>
      </c>
      <c r="J319" s="39" t="s">
        <v>2227</v>
      </c>
      <c r="K319" s="42"/>
      <c r="L319" s="42"/>
      <c r="M319" s="42"/>
      <c r="N319" s="42"/>
      <c r="O319" s="167">
        <f>-45000</f>
        <v>-45000</v>
      </c>
      <c r="P319" s="167">
        <f>-O319</f>
        <v>45000</v>
      </c>
      <c r="Q319" s="736"/>
      <c r="R319" s="167">
        <v>0</v>
      </c>
    </row>
    <row r="320" spans="1:18" s="2" customFormat="1">
      <c r="A320" s="2" t="s">
        <v>2228</v>
      </c>
      <c r="I320" s="39" t="s">
        <v>436</v>
      </c>
      <c r="J320" s="39"/>
      <c r="K320" s="475">
        <f>SUM(K309:K319)</f>
        <v>1580000</v>
      </c>
      <c r="L320" s="475">
        <f>SUM(L309:L319)</f>
        <v>0</v>
      </c>
      <c r="M320" s="475">
        <f>SUM(M309:M319)</f>
        <v>50000</v>
      </c>
      <c r="N320" s="475">
        <f>SUM(N309:N319)</f>
        <v>880000</v>
      </c>
      <c r="O320" s="475">
        <f>SUM(O309:O319)</f>
        <v>255000</v>
      </c>
      <c r="P320" s="475">
        <f>SUM(P309:P319)</f>
        <v>3362000</v>
      </c>
      <c r="Q320" s="475">
        <f>SUM(Q309:Q319)</f>
        <v>0</v>
      </c>
      <c r="R320" s="475">
        <f>SUM(R309:R319)</f>
        <v>6127000</v>
      </c>
    </row>
    <row r="321" spans="1:17" s="2" customFormat="1">
      <c r="A321" s="2" t="s">
        <v>2229</v>
      </c>
    </row>
    <row r="322" spans="1:17" s="2" customFormat="1">
      <c r="A322" s="2" t="s">
        <v>2230</v>
      </c>
      <c r="K322" s="2" t="s">
        <v>2231</v>
      </c>
    </row>
    <row r="323" spans="1:17" s="2" customFormat="1">
      <c r="A323" s="2" t="s">
        <v>2232</v>
      </c>
      <c r="K323" s="2" t="s">
        <v>2233</v>
      </c>
    </row>
    <row r="324" spans="1:17" s="2" customFormat="1">
      <c r="A324" s="2" t="s">
        <v>2234</v>
      </c>
      <c r="K324" s="2" t="s">
        <v>2235</v>
      </c>
    </row>
    <row r="325" spans="1:17" s="2" customFormat="1">
      <c r="L325" s="734" t="s">
        <v>2236</v>
      </c>
      <c r="M325" s="734"/>
      <c r="N325" s="734"/>
      <c r="O325" s="734"/>
      <c r="P325" s="734"/>
      <c r="Q325" s="734"/>
    </row>
    <row r="326" spans="1:17" s="2" customFormat="1">
      <c r="A326" s="2" t="s">
        <v>2237</v>
      </c>
      <c r="L326" s="89" t="s">
        <v>2238</v>
      </c>
      <c r="M326" s="89" t="s">
        <v>1901</v>
      </c>
      <c r="N326" s="89"/>
      <c r="O326" s="90" t="s">
        <v>2239</v>
      </c>
      <c r="P326" s="90" t="s">
        <v>2200</v>
      </c>
      <c r="Q326" s="90" t="s">
        <v>436</v>
      </c>
    </row>
    <row r="327" spans="1:17" s="2" customFormat="1">
      <c r="L327" s="2">
        <v>1</v>
      </c>
      <c r="M327" s="2" t="s">
        <v>2240</v>
      </c>
      <c r="O327" s="673">
        <f>N339</f>
        <v>20000</v>
      </c>
      <c r="P327" s="739"/>
      <c r="Q327" s="673">
        <f>O327</f>
        <v>20000</v>
      </c>
    </row>
    <row r="328" spans="1:17" s="2" customFormat="1">
      <c r="L328" s="2">
        <v>2</v>
      </c>
      <c r="M328" s="2" t="s">
        <v>2241</v>
      </c>
      <c r="O328" s="673">
        <f>N345</f>
        <v>5000</v>
      </c>
      <c r="P328" s="739"/>
      <c r="Q328" s="673">
        <f>O328</f>
        <v>5000</v>
      </c>
    </row>
    <row r="329" spans="1:17" s="2" customFormat="1">
      <c r="L329" s="2">
        <v>3</v>
      </c>
      <c r="M329" s="2" t="s">
        <v>2242</v>
      </c>
      <c r="O329" s="739"/>
      <c r="P329" s="673">
        <f>N351</f>
        <v>158000</v>
      </c>
      <c r="Q329" s="673">
        <f>P329</f>
        <v>158000</v>
      </c>
    </row>
    <row r="330" spans="1:17" s="2" customFormat="1">
      <c r="A330" s="4" t="s">
        <v>2243</v>
      </c>
      <c r="M330" s="2" t="s">
        <v>436</v>
      </c>
      <c r="O330" s="475">
        <f>SUM(O327:O329)</f>
        <v>25000</v>
      </c>
      <c r="P330" s="475">
        <f>SUM(P327:P329)</f>
        <v>158000</v>
      </c>
      <c r="Q330" s="476">
        <f>SUM(Q327:Q329)</f>
        <v>183000</v>
      </c>
    </row>
    <row r="331" spans="1:17" s="2" customFormat="1">
      <c r="A331" s="2" t="s">
        <v>1283</v>
      </c>
      <c r="B331" s="2" t="s">
        <v>2244</v>
      </c>
    </row>
    <row r="332" spans="1:17" s="2" customFormat="1">
      <c r="A332" s="2" t="s">
        <v>2245</v>
      </c>
      <c r="B332" s="2" t="s">
        <v>2246</v>
      </c>
      <c r="K332" s="34">
        <v>1</v>
      </c>
      <c r="L332" s="2" t="s">
        <v>2247</v>
      </c>
    </row>
    <row r="333" spans="1:17" s="2" customFormat="1">
      <c r="A333" s="2" t="s">
        <v>2066</v>
      </c>
      <c r="B333" s="2" t="s">
        <v>2248</v>
      </c>
      <c r="L333" s="2" t="s">
        <v>2249</v>
      </c>
    </row>
    <row r="334" spans="1:17" s="2" customFormat="1">
      <c r="C334" s="2" t="s">
        <v>2250</v>
      </c>
      <c r="L334" s="2" t="s">
        <v>2251</v>
      </c>
    </row>
    <row r="335" spans="1:17" s="2" customFormat="1">
      <c r="C335" s="2" t="s">
        <v>2252</v>
      </c>
      <c r="L335" s="2" t="s">
        <v>2253</v>
      </c>
    </row>
    <row r="336" spans="1:17" s="2" customFormat="1">
      <c r="C336" s="2" t="s">
        <v>2254</v>
      </c>
      <c r="L336" s="2" t="s">
        <v>2255</v>
      </c>
    </row>
    <row r="337" spans="1:16" s="2" customFormat="1">
      <c r="A337" s="2" t="s">
        <v>2206</v>
      </c>
      <c r="B337" s="2" t="s">
        <v>2256</v>
      </c>
      <c r="L337" s="2" t="s">
        <v>2257</v>
      </c>
    </row>
    <row r="338" spans="1:16" s="2" customFormat="1">
      <c r="C338" s="2" t="s">
        <v>2258</v>
      </c>
      <c r="L338" s="2" t="s">
        <v>2259</v>
      </c>
    </row>
    <row r="339" spans="1:16" s="2" customFormat="1">
      <c r="C339" s="2" t="s">
        <v>2260</v>
      </c>
      <c r="N339" s="58">
        <v>20000</v>
      </c>
      <c r="P339" s="2" t="s">
        <v>2261</v>
      </c>
    </row>
    <row r="340" spans="1:16" s="2" customFormat="1">
      <c r="C340" s="2" t="s">
        <v>2262</v>
      </c>
      <c r="L340" s="2" t="s">
        <v>2263</v>
      </c>
    </row>
    <row r="341" spans="1:16" s="2" customFormat="1">
      <c r="A341" s="2" t="s">
        <v>2208</v>
      </c>
      <c r="B341" s="2" t="s">
        <v>2264</v>
      </c>
      <c r="C341" s="2" t="s">
        <v>2265</v>
      </c>
      <c r="L341" s="2" t="s">
        <v>2266</v>
      </c>
    </row>
    <row r="342" spans="1:16" s="2" customFormat="1">
      <c r="C342" s="2" t="s">
        <v>2267</v>
      </c>
    </row>
    <row r="343" spans="1:16" s="2" customFormat="1">
      <c r="C343" s="2" t="s">
        <v>2268</v>
      </c>
      <c r="K343" s="34">
        <v>2</v>
      </c>
      <c r="L343" s="2" t="s">
        <v>2269</v>
      </c>
    </row>
    <row r="344" spans="1:16" s="2" customFormat="1">
      <c r="C344" s="2" t="s">
        <v>2270</v>
      </c>
      <c r="L344" s="2" t="s">
        <v>2271</v>
      </c>
    </row>
    <row r="345" spans="1:16" s="2" customFormat="1">
      <c r="C345" s="2" t="s">
        <v>2272</v>
      </c>
      <c r="N345" s="58">
        <f>50000*10%</f>
        <v>5000</v>
      </c>
      <c r="P345" s="2" t="s">
        <v>2273</v>
      </c>
    </row>
    <row r="346" spans="1:16" s="2" customFormat="1">
      <c r="A346" s="2" t="s">
        <v>2211</v>
      </c>
      <c r="B346" s="2" t="s">
        <v>2274</v>
      </c>
      <c r="C346" s="2" t="s">
        <v>2275</v>
      </c>
    </row>
    <row r="347" spans="1:16" s="2" customFormat="1">
      <c r="C347" s="2" t="s">
        <v>2276</v>
      </c>
      <c r="K347" s="34">
        <v>3</v>
      </c>
      <c r="L347" s="2" t="s">
        <v>2277</v>
      </c>
    </row>
    <row r="348" spans="1:16" s="2" customFormat="1">
      <c r="C348" s="2" t="s">
        <v>2278</v>
      </c>
      <c r="L348" s="2" t="s">
        <v>2279</v>
      </c>
    </row>
    <row r="349" spans="1:16" s="2" customFormat="1">
      <c r="A349" s="2" t="s">
        <v>2213</v>
      </c>
      <c r="B349" s="2" t="s">
        <v>2280</v>
      </c>
      <c r="C349" s="2" t="s">
        <v>2281</v>
      </c>
      <c r="L349" s="2" t="s">
        <v>2282</v>
      </c>
    </row>
    <row r="350" spans="1:16" s="2" customFormat="1">
      <c r="C350" s="2" t="s">
        <v>2283</v>
      </c>
      <c r="L350" s="2" t="s">
        <v>2284</v>
      </c>
    </row>
    <row r="351" spans="1:16" s="2" customFormat="1" ht="17" thickBot="1">
      <c r="A351" s="2" t="s">
        <v>2216</v>
      </c>
      <c r="B351" s="2" t="s">
        <v>2285</v>
      </c>
      <c r="N351" s="58">
        <f>K320*10%</f>
        <v>158000</v>
      </c>
      <c r="P351" s="2" t="s">
        <v>2286</v>
      </c>
    </row>
    <row r="352" spans="1:16" s="2" customFormat="1">
      <c r="D352" s="34" t="s">
        <v>197</v>
      </c>
      <c r="E352" s="34" t="s">
        <v>540</v>
      </c>
      <c r="F352" s="34" t="s">
        <v>2287</v>
      </c>
      <c r="G352" s="34" t="s">
        <v>2288</v>
      </c>
      <c r="I352" s="122" t="s">
        <v>2326</v>
      </c>
      <c r="J352" s="99"/>
      <c r="K352" s="99"/>
      <c r="L352" s="100"/>
    </row>
    <row r="353" spans="4:12" s="2" customFormat="1">
      <c r="D353" s="34" t="s">
        <v>88</v>
      </c>
      <c r="E353" s="34" t="s">
        <v>88</v>
      </c>
      <c r="F353" s="34" t="s">
        <v>89</v>
      </c>
      <c r="G353" s="34" t="s">
        <v>88</v>
      </c>
      <c r="I353" s="123" t="s">
        <v>2327</v>
      </c>
      <c r="J353" s="738"/>
      <c r="K353" s="738"/>
      <c r="L353" s="124"/>
    </row>
    <row r="354" spans="4:12" s="2" customFormat="1">
      <c r="I354" s="123" t="s">
        <v>2328</v>
      </c>
      <c r="J354" s="738"/>
      <c r="K354" s="738"/>
      <c r="L354" s="124"/>
    </row>
    <row r="355" spans="4:12" s="2" customFormat="1">
      <c r="D355" s="735" t="s">
        <v>2289</v>
      </c>
      <c r="G355" s="735" t="s">
        <v>2290</v>
      </c>
      <c r="I355" s="123" t="s">
        <v>2329</v>
      </c>
      <c r="J355" s="738"/>
      <c r="K355" s="738"/>
      <c r="L355" s="124"/>
    </row>
    <row r="356" spans="4:12" s="2" customFormat="1" ht="17" thickBot="1">
      <c r="D356" s="34" t="s">
        <v>2291</v>
      </c>
      <c r="G356" s="34" t="s">
        <v>2292</v>
      </c>
      <c r="I356" s="125" t="s">
        <v>2330</v>
      </c>
      <c r="J356" s="126"/>
      <c r="K356" s="126"/>
      <c r="L356" s="127"/>
    </row>
    <row r="357" spans="4:12" s="2" customFormat="1" ht="17" thickBot="1">
      <c r="D357" s="34" t="s">
        <v>2293</v>
      </c>
      <c r="G357" s="34" t="s">
        <v>2294</v>
      </c>
    </row>
    <row r="358" spans="4:12" s="2" customFormat="1">
      <c r="D358" s="34" t="s">
        <v>2295</v>
      </c>
      <c r="G358" s="34" t="s">
        <v>2296</v>
      </c>
      <c r="I358" s="122" t="s">
        <v>2331</v>
      </c>
      <c r="J358" s="99"/>
      <c r="K358" s="99"/>
      <c r="L358" s="100"/>
    </row>
    <row r="359" spans="4:12" s="2" customFormat="1" ht="17" thickBot="1">
      <c r="D359" s="34"/>
      <c r="G359" s="34"/>
      <c r="I359" s="125" t="s">
        <v>2332</v>
      </c>
      <c r="J359" s="126"/>
      <c r="K359" s="126"/>
      <c r="L359" s="127"/>
    </row>
    <row r="360" spans="4:12" s="2" customFormat="1">
      <c r="D360" s="34" t="s">
        <v>2297</v>
      </c>
      <c r="G360" s="34" t="s">
        <v>2298</v>
      </c>
    </row>
    <row r="361" spans="4:12" s="2" customFormat="1">
      <c r="D361" s="34" t="s">
        <v>91</v>
      </c>
      <c r="G361" s="34" t="s">
        <v>91</v>
      </c>
    </row>
    <row r="362" spans="4:12" s="2" customFormat="1">
      <c r="D362" s="49">
        <v>20000</v>
      </c>
      <c r="G362" s="49">
        <v>160000</v>
      </c>
    </row>
    <row r="363" spans="4:12" s="2" customFormat="1"/>
    <row r="364" spans="4:12" s="2" customFormat="1"/>
    <row r="365" spans="4:12" s="2" customFormat="1">
      <c r="F365" s="735" t="s">
        <v>2299</v>
      </c>
    </row>
    <row r="366" spans="4:12" s="2" customFormat="1">
      <c r="F366" s="34" t="s">
        <v>2300</v>
      </c>
    </row>
    <row r="367" spans="4:12" s="2" customFormat="1">
      <c r="F367" s="34" t="s">
        <v>2291</v>
      </c>
    </row>
    <row r="368" spans="4:12" s="2" customFormat="1">
      <c r="F368" s="34" t="s">
        <v>2301</v>
      </c>
    </row>
    <row r="369" spans="1:6" s="2" customFormat="1">
      <c r="F369" s="34" t="s">
        <v>2302</v>
      </c>
    </row>
    <row r="370" spans="1:6" s="2" customFormat="1">
      <c r="F370" s="2" t="s">
        <v>2303</v>
      </c>
    </row>
    <row r="371" spans="1:6" s="2" customFormat="1">
      <c r="F371" s="34" t="s">
        <v>91</v>
      </c>
    </row>
    <row r="372" spans="1:6" s="2" customFormat="1">
      <c r="F372" s="49">
        <v>-120000</v>
      </c>
    </row>
    <row r="373" spans="1:6" s="2" customFormat="1"/>
    <row r="374" spans="1:6" s="2" customFormat="1"/>
    <row r="375" spans="1:6" s="2" customFormat="1">
      <c r="E375" s="735" t="s">
        <v>2304</v>
      </c>
    </row>
    <row r="376" spans="1:6" s="2" customFormat="1">
      <c r="E376" s="2" t="s">
        <v>2305</v>
      </c>
    </row>
    <row r="377" spans="1:6" s="2" customFormat="1">
      <c r="E377" s="2" t="s">
        <v>2306</v>
      </c>
    </row>
    <row r="378" spans="1:6" s="2" customFormat="1">
      <c r="E378" s="2" t="s">
        <v>2307</v>
      </c>
    </row>
    <row r="379" spans="1:6" s="2" customFormat="1">
      <c r="E379" s="2" t="s">
        <v>2308</v>
      </c>
    </row>
    <row r="380" spans="1:6" s="2" customFormat="1">
      <c r="F380" s="2" t="s">
        <v>2309</v>
      </c>
    </row>
    <row r="381" spans="1:6" s="2" customFormat="1">
      <c r="F381" s="2" t="s">
        <v>2310</v>
      </c>
    </row>
    <row r="382" spans="1:6" s="2" customFormat="1"/>
    <row r="383" spans="1:6" s="2" customFormat="1">
      <c r="A383" s="2" t="s">
        <v>2219</v>
      </c>
      <c r="B383" s="2" t="s">
        <v>2311</v>
      </c>
      <c r="C383" s="2" t="s">
        <v>2312</v>
      </c>
    </row>
    <row r="384" spans="1:6" s="2" customFormat="1">
      <c r="C384" s="2" t="s">
        <v>2313</v>
      </c>
    </row>
    <row r="385" spans="1:8" s="2" customFormat="1"/>
    <row r="386" spans="1:8" s="2" customFormat="1">
      <c r="A386" s="2" t="s">
        <v>2222</v>
      </c>
      <c r="B386" s="2" t="s">
        <v>259</v>
      </c>
      <c r="C386" s="2" t="s">
        <v>2314</v>
      </c>
    </row>
    <row r="387" spans="1:8" s="2" customFormat="1">
      <c r="C387" s="2" t="s">
        <v>2315</v>
      </c>
    </row>
    <row r="388" spans="1:8" s="2" customFormat="1"/>
    <row r="389" spans="1:8" s="2" customFormat="1">
      <c r="A389" s="2" t="s">
        <v>2226</v>
      </c>
      <c r="B389" s="2" t="s">
        <v>2227</v>
      </c>
      <c r="C389" s="2" t="s">
        <v>2316</v>
      </c>
    </row>
    <row r="390" spans="1:8" s="2" customFormat="1">
      <c r="B390" s="2" t="s">
        <v>2317</v>
      </c>
    </row>
    <row r="391" spans="1:8" s="2" customFormat="1">
      <c r="B391" s="2" t="s">
        <v>2318</v>
      </c>
    </row>
    <row r="392" spans="1:8" s="2" customFormat="1">
      <c r="B392" s="2" t="s">
        <v>2319</v>
      </c>
    </row>
    <row r="393" spans="1:8" s="2" customFormat="1"/>
    <row r="394" spans="1:8" s="2" customFormat="1">
      <c r="B394" s="2" t="s">
        <v>2320</v>
      </c>
    </row>
    <row r="395" spans="1:8" s="2" customFormat="1">
      <c r="B395" s="2" t="s">
        <v>2321</v>
      </c>
    </row>
    <row r="396" spans="1:8" s="2" customFormat="1">
      <c r="B396" s="2" t="s">
        <v>2322</v>
      </c>
    </row>
    <row r="397" spans="1:8" s="2" customFormat="1">
      <c r="B397" s="2" t="s">
        <v>2323</v>
      </c>
    </row>
    <row r="398" spans="1:8" s="2" customFormat="1"/>
    <row r="399" spans="1:8" s="2" customFormat="1">
      <c r="A399" s="730" t="s">
        <v>2333</v>
      </c>
      <c r="B399" s="730"/>
      <c r="C399" s="730"/>
      <c r="D399" s="730"/>
      <c r="E399" s="730"/>
      <c r="F399" s="730"/>
      <c r="G399" s="730"/>
      <c r="H399" s="730"/>
    </row>
    <row r="400" spans="1:8" s="2" customFormat="1"/>
    <row r="401" spans="1:5" s="2" customFormat="1">
      <c r="A401" s="2" t="s">
        <v>2334</v>
      </c>
    </row>
    <row r="402" spans="1:5" s="2" customFormat="1">
      <c r="A402" s="2" t="s">
        <v>2335</v>
      </c>
    </row>
    <row r="403" spans="1:5" s="2" customFormat="1"/>
    <row r="404" spans="1:5" s="2" customFormat="1">
      <c r="E404" s="89" t="s">
        <v>644</v>
      </c>
    </row>
    <row r="405" spans="1:5" s="2" customFormat="1">
      <c r="B405" s="2" t="s">
        <v>723</v>
      </c>
      <c r="E405" s="58">
        <v>500000</v>
      </c>
    </row>
    <row r="406" spans="1:5" s="2" customFormat="1">
      <c r="B406" s="2" t="s">
        <v>2336</v>
      </c>
      <c r="E406" s="58">
        <v>300000</v>
      </c>
    </row>
    <row r="407" spans="1:5" s="2" customFormat="1">
      <c r="B407" s="2" t="s">
        <v>2337</v>
      </c>
      <c r="E407" s="58">
        <v>50000</v>
      </c>
    </row>
    <row r="408" spans="1:5" s="2" customFormat="1">
      <c r="B408" s="2" t="s">
        <v>1501</v>
      </c>
      <c r="E408" s="58">
        <v>2000000</v>
      </c>
    </row>
    <row r="409" spans="1:5" s="2" customFormat="1"/>
    <row r="410" spans="1:5" s="2" customFormat="1">
      <c r="A410" s="2" t="s">
        <v>1743</v>
      </c>
    </row>
    <row r="411" spans="1:5" s="2" customFormat="1">
      <c r="A411" s="2" t="s">
        <v>2338</v>
      </c>
    </row>
    <row r="412" spans="1:5" s="2" customFormat="1">
      <c r="A412" s="2" t="s">
        <v>2339</v>
      </c>
    </row>
    <row r="413" spans="1:5" s="2" customFormat="1">
      <c r="A413" s="2" t="s">
        <v>2340</v>
      </c>
    </row>
    <row r="414" spans="1:5" s="2" customFormat="1">
      <c r="A414" s="2" t="s">
        <v>2341</v>
      </c>
    </row>
    <row r="415" spans="1:5" s="2" customFormat="1"/>
    <row r="416" spans="1:5" s="2" customFormat="1">
      <c r="A416" s="2" t="s">
        <v>2342</v>
      </c>
    </row>
    <row r="417" spans="1:8" s="2" customFormat="1"/>
    <row r="418" spans="1:8" s="2" customFormat="1">
      <c r="A418" s="4" t="s">
        <v>2343</v>
      </c>
    </row>
    <row r="419" spans="1:8" s="2" customFormat="1"/>
    <row r="420" spans="1:8" s="2" customFormat="1">
      <c r="A420" s="740" t="s">
        <v>2344</v>
      </c>
      <c r="B420" s="740"/>
      <c r="C420" s="740"/>
      <c r="D420" s="740"/>
      <c r="E420" s="740"/>
      <c r="F420" s="740"/>
      <c r="G420" s="740"/>
      <c r="H420" s="740"/>
    </row>
    <row r="421" spans="1:8" s="2" customFormat="1">
      <c r="A421" s="740" t="s">
        <v>2345</v>
      </c>
      <c r="B421" s="740"/>
      <c r="C421" s="740"/>
      <c r="D421" s="740"/>
      <c r="E421" s="740"/>
      <c r="F421" s="740"/>
      <c r="G421" s="740"/>
      <c r="H421" s="740"/>
    </row>
    <row r="422" spans="1:8" s="2" customFormat="1"/>
    <row r="423" spans="1:8" s="2" customFormat="1">
      <c r="D423" s="2" t="s">
        <v>1584</v>
      </c>
      <c r="E423" s="2" t="s">
        <v>1584</v>
      </c>
    </row>
    <row r="424" spans="1:8" s="2" customFormat="1">
      <c r="D424" s="2" t="s">
        <v>2190</v>
      </c>
      <c r="E424" s="2" t="s">
        <v>2190</v>
      </c>
      <c r="F424" s="2" t="s">
        <v>1584</v>
      </c>
    </row>
    <row r="425" spans="1:8" s="2" customFormat="1">
      <c r="D425" s="2" t="s">
        <v>2346</v>
      </c>
      <c r="E425" s="2" t="s">
        <v>2347</v>
      </c>
      <c r="F425" s="2" t="s">
        <v>2348</v>
      </c>
      <c r="H425" s="21" t="s">
        <v>2381</v>
      </c>
    </row>
    <row r="426" spans="1:8" s="2" customFormat="1">
      <c r="B426" s="89" t="s">
        <v>2238</v>
      </c>
      <c r="C426" s="89" t="s">
        <v>1901</v>
      </c>
      <c r="D426" s="89" t="s">
        <v>2349</v>
      </c>
      <c r="E426" s="89" t="s">
        <v>2350</v>
      </c>
      <c r="F426" s="89" t="s">
        <v>2351</v>
      </c>
      <c r="G426" s="89" t="s">
        <v>2352</v>
      </c>
      <c r="H426" s="741" t="s">
        <v>2353</v>
      </c>
    </row>
    <row r="427" spans="1:8" s="2" customFormat="1">
      <c r="B427" s="2">
        <v>0</v>
      </c>
      <c r="C427" s="2" t="s">
        <v>2354</v>
      </c>
      <c r="D427" s="91"/>
      <c r="E427" s="91"/>
      <c r="F427" s="91"/>
      <c r="G427" s="91"/>
      <c r="H427" s="225">
        <v>800000</v>
      </c>
    </row>
    <row r="428" spans="1:8" s="2" customFormat="1">
      <c r="B428" s="2">
        <v>1</v>
      </c>
      <c r="C428" s="2" t="s">
        <v>2355</v>
      </c>
      <c r="D428" s="225">
        <f>E439</f>
        <v>72000</v>
      </c>
      <c r="E428" s="91"/>
      <c r="F428" s="91"/>
      <c r="G428" s="225">
        <f>D428</f>
        <v>72000</v>
      </c>
      <c r="H428" s="225">
        <f>H427-G428</f>
        <v>728000</v>
      </c>
    </row>
    <row r="429" spans="1:8" s="2" customFormat="1">
      <c r="B429" s="2">
        <v>2</v>
      </c>
      <c r="C429" s="2" t="s">
        <v>2356</v>
      </c>
      <c r="D429" s="225">
        <f>E451</f>
        <v>24000</v>
      </c>
      <c r="E429" s="225">
        <f>E452</f>
        <v>7500</v>
      </c>
      <c r="F429" s="742"/>
      <c r="G429" s="225">
        <f>D429+E429</f>
        <v>31500</v>
      </c>
      <c r="H429" s="225">
        <f>H428-G429</f>
        <v>696500</v>
      </c>
    </row>
    <row r="430" spans="1:8" s="2" customFormat="1">
      <c r="B430" s="2">
        <v>3</v>
      </c>
      <c r="C430" s="2" t="s">
        <v>2357</v>
      </c>
      <c r="D430" s="91"/>
      <c r="E430" s="91"/>
      <c r="F430" s="225">
        <f>H429</f>
        <v>696500</v>
      </c>
      <c r="G430" s="225">
        <f>F430</f>
        <v>696500</v>
      </c>
      <c r="H430" s="225">
        <f>H429-G430</f>
        <v>0</v>
      </c>
    </row>
    <row r="431" spans="1:8" s="2" customFormat="1">
      <c r="C431" s="2" t="s">
        <v>436</v>
      </c>
      <c r="D431" s="743">
        <f>SUM(D427:D430)</f>
        <v>96000</v>
      </c>
      <c r="E431" s="743">
        <f>SUM(E427:E430)</f>
        <v>7500</v>
      </c>
      <c r="F431" s="743">
        <f>SUM(F427:F430)</f>
        <v>696500</v>
      </c>
      <c r="G431" s="743">
        <f>SUM(G427:G430)</f>
        <v>800000</v>
      </c>
      <c r="H431" s="91"/>
    </row>
    <row r="432" spans="1:8" s="2" customFormat="1"/>
    <row r="433" spans="1:7" s="2" customFormat="1">
      <c r="A433" s="2" t="s">
        <v>2178</v>
      </c>
    </row>
    <row r="434" spans="1:7" s="2" customFormat="1">
      <c r="B434" s="2" t="s">
        <v>2358</v>
      </c>
      <c r="C434" s="2" t="s">
        <v>2359</v>
      </c>
    </row>
    <row r="435" spans="1:7" s="2" customFormat="1">
      <c r="B435" s="2" t="s">
        <v>2360</v>
      </c>
      <c r="C435" s="2" t="s">
        <v>2361</v>
      </c>
    </row>
    <row r="436" spans="1:7" s="2" customFormat="1">
      <c r="C436" s="2" t="s">
        <v>2362</v>
      </c>
    </row>
    <row r="437" spans="1:7" s="2" customFormat="1">
      <c r="C437" s="2" t="s">
        <v>2363</v>
      </c>
    </row>
    <row r="438" spans="1:7" s="2" customFormat="1"/>
    <row r="439" spans="1:7" s="2" customFormat="1">
      <c r="E439" s="58">
        <f>300000*8%*3</f>
        <v>72000</v>
      </c>
      <c r="G439" s="2" t="s">
        <v>2364</v>
      </c>
    </row>
    <row r="440" spans="1:7" s="2" customFormat="1"/>
    <row r="441" spans="1:7" s="2" customFormat="1">
      <c r="C441" s="2" t="s">
        <v>2365</v>
      </c>
    </row>
    <row r="442" spans="1:7" s="2" customFormat="1">
      <c r="C442" s="2" t="s">
        <v>2366</v>
      </c>
    </row>
    <row r="443" spans="1:7" s="2" customFormat="1">
      <c r="C443" s="2" t="s">
        <v>2367</v>
      </c>
    </row>
    <row r="444" spans="1:7" s="2" customFormat="1">
      <c r="C444" s="2" t="s">
        <v>2368</v>
      </c>
    </row>
    <row r="445" spans="1:7" s="2" customFormat="1">
      <c r="C445" s="2" t="s">
        <v>2369</v>
      </c>
    </row>
    <row r="446" spans="1:7" s="2" customFormat="1"/>
    <row r="447" spans="1:7" s="2" customFormat="1">
      <c r="B447" s="2" t="s">
        <v>2370</v>
      </c>
      <c r="C447" s="2" t="s">
        <v>2371</v>
      </c>
    </row>
    <row r="448" spans="1:7" s="2" customFormat="1">
      <c r="C448" s="2" t="s">
        <v>2372</v>
      </c>
    </row>
    <row r="449" spans="1:8" s="2" customFormat="1">
      <c r="C449" s="2" t="s">
        <v>2373</v>
      </c>
    </row>
    <row r="450" spans="1:8" s="2" customFormat="1"/>
    <row r="451" spans="1:8" s="2" customFormat="1">
      <c r="C451" s="2" t="s">
        <v>2374</v>
      </c>
      <c r="E451" s="58">
        <f>300000*8%</f>
        <v>24000</v>
      </c>
      <c r="G451" s="2" t="s">
        <v>2375</v>
      </c>
    </row>
    <row r="452" spans="1:8" s="2" customFormat="1">
      <c r="C452" s="2" t="s">
        <v>2376</v>
      </c>
      <c r="E452" s="58">
        <f>50000*15%</f>
        <v>7500</v>
      </c>
      <c r="G452" s="2" t="s">
        <v>2377</v>
      </c>
    </row>
    <row r="453" spans="1:8" s="2" customFormat="1"/>
    <row r="454" spans="1:8" s="2" customFormat="1">
      <c r="B454" s="2" t="s">
        <v>2378</v>
      </c>
      <c r="C454" s="2" t="s">
        <v>2379</v>
      </c>
    </row>
    <row r="455" spans="1:8" s="2" customFormat="1">
      <c r="B455" s="2" t="s">
        <v>1283</v>
      </c>
      <c r="C455" s="2" t="s">
        <v>2380</v>
      </c>
    </row>
    <row r="456" spans="1:8" s="2" customFormat="1"/>
    <row r="457" spans="1:8">
      <c r="A457" s="565" t="s">
        <v>1659</v>
      </c>
      <c r="B457" s="566"/>
      <c r="C457" s="566"/>
      <c r="D457" s="566"/>
      <c r="E457" s="566"/>
      <c r="F457" s="566"/>
      <c r="G457" s="566"/>
      <c r="H457" s="566"/>
    </row>
    <row r="458" spans="1:8">
      <c r="H458"/>
    </row>
    <row r="459" spans="1:8">
      <c r="A459" s="63" t="s">
        <v>1660</v>
      </c>
      <c r="H459"/>
    </row>
    <row r="460" spans="1:8">
      <c r="A460" s="63" t="s">
        <v>1661</v>
      </c>
      <c r="H460"/>
    </row>
    <row r="461" spans="1:8">
      <c r="A461" s="63" t="s">
        <v>1662</v>
      </c>
      <c r="H461"/>
    </row>
    <row r="462" spans="1:8">
      <c r="B462" s="63" t="s">
        <v>1663</v>
      </c>
      <c r="H462"/>
    </row>
    <row r="463" spans="1:8">
      <c r="B463" s="63" t="s">
        <v>1664</v>
      </c>
      <c r="H463"/>
    </row>
    <row r="464" spans="1:8">
      <c r="B464" s="63" t="s">
        <v>1665</v>
      </c>
      <c r="H464"/>
    </row>
    <row r="465" spans="1:8">
      <c r="H465"/>
    </row>
    <row r="466" spans="1:8">
      <c r="A466" s="63" t="s">
        <v>1666</v>
      </c>
      <c r="H466"/>
    </row>
    <row r="467" spans="1:8">
      <c r="A467" s="63" t="s">
        <v>1667</v>
      </c>
      <c r="H467"/>
    </row>
    <row r="468" spans="1:8">
      <c r="H468"/>
    </row>
    <row r="469" spans="1:8">
      <c r="A469" s="63" t="s">
        <v>1668</v>
      </c>
      <c r="H469"/>
    </row>
    <row r="471" spans="1:8" s="3" customFormat="1" ht="13">
      <c r="A471" s="598" t="s">
        <v>1738</v>
      </c>
      <c r="B471" s="598"/>
      <c r="C471" s="598"/>
      <c r="D471" s="598"/>
      <c r="E471" s="598"/>
      <c r="F471" s="598"/>
      <c r="G471" s="598"/>
      <c r="H471" s="598"/>
    </row>
    <row r="472" spans="1:8" s="3" customFormat="1" ht="13">
      <c r="A472" s="3" t="s">
        <v>1742</v>
      </c>
    </row>
    <row r="473" spans="1:8" s="3" customFormat="1" ht="13"/>
    <row r="474" spans="1:8" s="3" customFormat="1" ht="13">
      <c r="C474" s="594">
        <v>44561</v>
      </c>
      <c r="D474" s="594">
        <v>44196</v>
      </c>
    </row>
    <row r="475" spans="1:8" s="3" customFormat="1" ht="13">
      <c r="C475" s="595" t="s">
        <v>644</v>
      </c>
      <c r="D475" s="595" t="s">
        <v>644</v>
      </c>
    </row>
    <row r="476" spans="1:8" s="3" customFormat="1" ht="13">
      <c r="A476" s="443" t="s">
        <v>131</v>
      </c>
      <c r="C476" s="596"/>
      <c r="D476" s="596"/>
    </row>
    <row r="477" spans="1:8" s="3" customFormat="1" ht="13">
      <c r="A477" s="3" t="s">
        <v>1739</v>
      </c>
      <c r="C477" s="449">
        <v>40000</v>
      </c>
      <c r="D477" s="449">
        <v>13000</v>
      </c>
    </row>
    <row r="478" spans="1:8" s="3" customFormat="1" ht="13">
      <c r="A478" s="3" t="s">
        <v>845</v>
      </c>
      <c r="C478" s="449">
        <v>12000</v>
      </c>
      <c r="D478" s="449">
        <v>14000</v>
      </c>
    </row>
    <row r="479" spans="1:8" s="3" customFormat="1" ht="13">
      <c r="A479" s="3" t="s">
        <v>931</v>
      </c>
      <c r="C479" s="449">
        <v>27000</v>
      </c>
      <c r="D479" s="449">
        <v>51000</v>
      </c>
    </row>
    <row r="480" spans="1:8" s="3" customFormat="1" ht="13">
      <c r="A480" s="3" t="s">
        <v>557</v>
      </c>
      <c r="C480" s="449">
        <v>47000</v>
      </c>
      <c r="D480" s="449">
        <v>42000</v>
      </c>
    </row>
    <row r="481" spans="1:4" s="3" customFormat="1" ht="13">
      <c r="A481" s="3" t="s">
        <v>1547</v>
      </c>
      <c r="C481" s="449">
        <v>120000</v>
      </c>
      <c r="D481" s="449">
        <v>70000</v>
      </c>
    </row>
    <row r="482" spans="1:4" s="3" customFormat="1" ht="13">
      <c r="A482" s="3" t="s">
        <v>1548</v>
      </c>
      <c r="C482" s="449">
        <v>-45000</v>
      </c>
      <c r="D482" s="449">
        <v>-30000</v>
      </c>
    </row>
    <row r="483" spans="1:4" s="3" customFormat="1" ht="14" thickBot="1">
      <c r="C483" s="597">
        <f>SUM(C477:C482)</f>
        <v>201000</v>
      </c>
      <c r="D483" s="597">
        <f>SUM(D477:D482)</f>
        <v>160000</v>
      </c>
    </row>
    <row r="484" spans="1:4" s="3" customFormat="1" ht="14" thickTop="1">
      <c r="C484" s="449"/>
      <c r="D484" s="449"/>
    </row>
    <row r="485" spans="1:4" s="3" customFormat="1" ht="13">
      <c r="A485" s="443" t="s">
        <v>550</v>
      </c>
      <c r="C485" s="449"/>
      <c r="D485" s="449"/>
    </row>
    <row r="486" spans="1:4" s="3" customFormat="1" ht="13">
      <c r="A486" s="3" t="s">
        <v>1740</v>
      </c>
      <c r="C486" s="449">
        <v>29000</v>
      </c>
      <c r="D486" s="449">
        <v>20000</v>
      </c>
    </row>
    <row r="487" spans="1:4" s="3" customFormat="1" ht="13">
      <c r="A487" s="3" t="s">
        <v>75</v>
      </c>
      <c r="C487" s="449">
        <v>82000</v>
      </c>
      <c r="D487" s="449">
        <v>71000</v>
      </c>
    </row>
    <row r="488" spans="1:4" s="3" customFormat="1" ht="13">
      <c r="A488" s="3" t="s">
        <v>1551</v>
      </c>
      <c r="C488" s="449">
        <v>36000</v>
      </c>
      <c r="D488" s="449">
        <v>30000</v>
      </c>
    </row>
    <row r="489" spans="1:4" s="3" customFormat="1" ht="13">
      <c r="A489" s="3" t="s">
        <v>1741</v>
      </c>
      <c r="C489" s="449">
        <v>40000</v>
      </c>
      <c r="D489" s="449">
        <v>35000</v>
      </c>
    </row>
    <row r="490" spans="1:4" s="3" customFormat="1" ht="13">
      <c r="A490" s="3" t="s">
        <v>1501</v>
      </c>
      <c r="C490" s="449">
        <f>C483-C486-C487-C488-C489</f>
        <v>14000</v>
      </c>
      <c r="D490" s="449">
        <f>D483-D486-D487-D488-D489</f>
        <v>4000</v>
      </c>
    </row>
    <row r="491" spans="1:4" s="3" customFormat="1" ht="14" thickBot="1">
      <c r="C491" s="597">
        <f>SUM(C486:C490)</f>
        <v>201000</v>
      </c>
      <c r="D491" s="597">
        <f>SUM(D486:D490)</f>
        <v>160000</v>
      </c>
    </row>
    <row r="492" spans="1:4" s="3" customFormat="1" ht="14" thickTop="1"/>
    <row r="493" spans="1:4" s="3" customFormat="1" ht="13">
      <c r="A493" s="3" t="s">
        <v>1743</v>
      </c>
    </row>
    <row r="494" spans="1:4" s="3" customFormat="1" ht="13">
      <c r="A494" s="3" t="s">
        <v>1744</v>
      </c>
    </row>
    <row r="495" spans="1:4" s="3" customFormat="1" ht="13">
      <c r="A495" s="3" t="s">
        <v>1745</v>
      </c>
    </row>
    <row r="496" spans="1:4" s="3" customFormat="1" ht="13">
      <c r="A496" s="3" t="s">
        <v>1746</v>
      </c>
    </row>
    <row r="497" spans="1:8" s="3" customFormat="1" ht="13">
      <c r="A497" s="3" t="s">
        <v>1790</v>
      </c>
    </row>
    <row r="498" spans="1:8" s="3" customFormat="1" ht="13"/>
    <row r="499" spans="1:8" s="3" customFormat="1" ht="13">
      <c r="A499" s="3" t="s">
        <v>1747</v>
      </c>
    </row>
    <row r="500" spans="1:8" s="3" customFormat="1" ht="13"/>
    <row r="501" spans="1:8" s="3" customFormat="1" ht="13">
      <c r="A501" s="598" t="s">
        <v>1748</v>
      </c>
      <c r="B501" s="598"/>
      <c r="C501" s="598"/>
      <c r="D501" s="598"/>
      <c r="E501" s="598"/>
      <c r="F501" s="598"/>
      <c r="G501" s="598"/>
      <c r="H501" s="598"/>
    </row>
    <row r="502" spans="1:8" s="3" customFormat="1" ht="13"/>
    <row r="503" spans="1:8" s="3" customFormat="1" ht="13">
      <c r="A503" s="3" t="s">
        <v>1845</v>
      </c>
    </row>
    <row r="504" spans="1:8" s="3" customFormat="1" ht="13">
      <c r="A504" s="3" t="s">
        <v>1756</v>
      </c>
    </row>
    <row r="505" spans="1:8" s="3" customFormat="1" ht="13">
      <c r="A505" s="3" t="s">
        <v>1750</v>
      </c>
    </row>
    <row r="506" spans="1:8" s="3" customFormat="1" ht="13">
      <c r="A506" s="3" t="s">
        <v>1749</v>
      </c>
    </row>
    <row r="507" spans="1:8" s="3" customFormat="1" ht="13">
      <c r="A507" s="3" t="s">
        <v>1752</v>
      </c>
    </row>
    <row r="508" spans="1:8" s="3" customFormat="1" ht="13">
      <c r="A508" s="3" t="s">
        <v>1846</v>
      </c>
    </row>
    <row r="509" spans="1:8" s="3" customFormat="1" ht="13"/>
    <row r="510" spans="1:8" s="3" customFormat="1" ht="13">
      <c r="A510" s="3" t="s">
        <v>1757</v>
      </c>
    </row>
    <row r="511" spans="1:8" s="3" customFormat="1" ht="13">
      <c r="A511" s="3" t="s">
        <v>1758</v>
      </c>
    </row>
    <row r="512" spans="1:8" s="3" customFormat="1" ht="13">
      <c r="A512" s="3" t="s">
        <v>1759</v>
      </c>
    </row>
    <row r="513" spans="1:10" s="3" customFormat="1" ht="13">
      <c r="A513" s="3" t="s">
        <v>1847</v>
      </c>
    </row>
    <row r="514" spans="1:10" s="3" customFormat="1" ht="13">
      <c r="A514" s="3" t="s">
        <v>1769</v>
      </c>
    </row>
    <row r="515" spans="1:10" s="3" customFormat="1" ht="13">
      <c r="A515" s="3" t="s">
        <v>1765</v>
      </c>
    </row>
    <row r="516" spans="1:10" s="3" customFormat="1" ht="13">
      <c r="A516" s="3" t="s">
        <v>1766</v>
      </c>
    </row>
    <row r="517" spans="1:10" s="3" customFormat="1" ht="13">
      <c r="A517" s="3" t="s">
        <v>1764</v>
      </c>
    </row>
    <row r="518" spans="1:10" s="3" customFormat="1" ht="13">
      <c r="A518" s="3" t="s">
        <v>1768</v>
      </c>
    </row>
    <row r="519" spans="1:10" s="3" customFormat="1" ht="13">
      <c r="A519" s="3" t="s">
        <v>1762</v>
      </c>
    </row>
    <row r="520" spans="1:10" s="3" customFormat="1" ht="13"/>
    <row r="521" spans="1:10" s="3" customFormat="1" ht="13">
      <c r="A521" s="443" t="s">
        <v>1751</v>
      </c>
      <c r="C521" s="748">
        <v>44561</v>
      </c>
      <c r="D521" s="748">
        <v>44196</v>
      </c>
      <c r="E521" s="602" t="s">
        <v>1678</v>
      </c>
      <c r="F521" s="602" t="s">
        <v>1679</v>
      </c>
      <c r="G521" s="602" t="s">
        <v>1680</v>
      </c>
      <c r="H521" s="602" t="s">
        <v>1681</v>
      </c>
      <c r="I521" s="602" t="s">
        <v>66</v>
      </c>
      <c r="J521" s="602" t="s">
        <v>1755</v>
      </c>
    </row>
    <row r="522" spans="1:10" s="3" customFormat="1" ht="13">
      <c r="A522" s="603"/>
      <c r="B522" s="604"/>
      <c r="C522" s="749"/>
      <c r="D522" s="749"/>
      <c r="E522" s="751"/>
      <c r="F522" s="606"/>
      <c r="G522" s="606"/>
      <c r="H522" s="606"/>
      <c r="I522" s="618" t="s">
        <v>1686</v>
      </c>
      <c r="J522" s="606"/>
    </row>
    <row r="523" spans="1:10" s="3" customFormat="1" ht="13">
      <c r="A523" s="604" t="s">
        <v>1739</v>
      </c>
      <c r="B523" s="604"/>
      <c r="C523" s="619">
        <v>40000</v>
      </c>
      <c r="D523" s="619">
        <v>13000</v>
      </c>
      <c r="E523" s="619">
        <f>C523-D523</f>
        <v>27000</v>
      </c>
      <c r="F523" s="746"/>
      <c r="G523" s="746"/>
      <c r="H523" s="746"/>
      <c r="I523" s="619">
        <f>E523</f>
        <v>27000</v>
      </c>
      <c r="J523" s="746"/>
    </row>
    <row r="524" spans="1:10" s="3" customFormat="1" ht="13">
      <c r="C524" s="490"/>
      <c r="D524" s="490"/>
      <c r="E524" s="490"/>
      <c r="F524" s="620" t="s">
        <v>1687</v>
      </c>
      <c r="G524" s="747"/>
      <c r="H524" s="747"/>
      <c r="I524" s="610"/>
      <c r="J524" s="747"/>
    </row>
    <row r="525" spans="1:10" s="3" customFormat="1" ht="13">
      <c r="A525" s="3" t="s">
        <v>845</v>
      </c>
      <c r="C525" s="490">
        <v>12000</v>
      </c>
      <c r="D525" s="490">
        <v>14000</v>
      </c>
      <c r="E525" s="490">
        <f>C525-D525</f>
        <v>-2000</v>
      </c>
      <c r="F525" s="490">
        <f>-E525</f>
        <v>2000</v>
      </c>
      <c r="G525" s="747"/>
      <c r="H525" s="747"/>
      <c r="I525" s="747"/>
      <c r="J525" s="747"/>
    </row>
    <row r="526" spans="1:10" s="3" customFormat="1" ht="13">
      <c r="A526" s="604"/>
      <c r="B526" s="604"/>
      <c r="C526" s="619"/>
      <c r="D526" s="619"/>
      <c r="E526" s="619"/>
      <c r="F526" s="619" t="s">
        <v>1760</v>
      </c>
      <c r="G526" s="746"/>
      <c r="H526" s="746"/>
      <c r="I526" s="746"/>
      <c r="J526" s="746"/>
    </row>
    <row r="527" spans="1:10" s="3" customFormat="1" ht="13">
      <c r="A527" s="604" t="s">
        <v>931</v>
      </c>
      <c r="B527" s="604"/>
      <c r="C527" s="619">
        <v>27000</v>
      </c>
      <c r="D527" s="619">
        <v>51000</v>
      </c>
      <c r="E527" s="619">
        <f>C527-D527</f>
        <v>-24000</v>
      </c>
      <c r="F527" s="619">
        <f>-E527</f>
        <v>24000</v>
      </c>
      <c r="G527" s="746"/>
      <c r="H527" s="746"/>
      <c r="I527" s="746"/>
      <c r="J527" s="746"/>
    </row>
    <row r="528" spans="1:10" s="3" customFormat="1" ht="13">
      <c r="C528" s="490"/>
      <c r="D528" s="490"/>
      <c r="E528" s="490"/>
      <c r="F528" s="490" t="s">
        <v>1761</v>
      </c>
      <c r="G528" s="747"/>
      <c r="H528" s="747"/>
      <c r="I528" s="747"/>
      <c r="J528" s="747"/>
    </row>
    <row r="529" spans="1:10" s="3" customFormat="1" ht="13">
      <c r="A529" s="3" t="s">
        <v>557</v>
      </c>
      <c r="C529" s="490">
        <v>47000</v>
      </c>
      <c r="D529" s="490">
        <v>42000</v>
      </c>
      <c r="E529" s="490">
        <f>C529-D529</f>
        <v>5000</v>
      </c>
      <c r="F529" s="490">
        <f>-E529</f>
        <v>-5000</v>
      </c>
      <c r="G529" s="747"/>
      <c r="H529" s="747"/>
      <c r="I529" s="747"/>
      <c r="J529" s="747"/>
    </row>
    <row r="530" spans="1:10" s="3" customFormat="1" ht="13">
      <c r="A530" s="604"/>
      <c r="B530" s="604"/>
      <c r="C530" s="619"/>
      <c r="D530" s="619"/>
      <c r="E530" s="619"/>
      <c r="F530" s="619" t="s">
        <v>587</v>
      </c>
      <c r="G530" s="618" t="s">
        <v>1770</v>
      </c>
      <c r="H530" s="746"/>
      <c r="I530" s="746"/>
      <c r="J530" s="746"/>
    </row>
    <row r="531" spans="1:10" s="3" customFormat="1" ht="13">
      <c r="A531" s="604" t="s">
        <v>1754</v>
      </c>
      <c r="B531" s="604"/>
      <c r="C531" s="619">
        <f>C481+C482</f>
        <v>75000</v>
      </c>
      <c r="D531" s="619">
        <f>D481+D482</f>
        <v>40000</v>
      </c>
      <c r="E531" s="619">
        <f>C531-D531</f>
        <v>35000</v>
      </c>
      <c r="F531" s="619">
        <f>D482-C482</f>
        <v>15000</v>
      </c>
      <c r="G531" s="619">
        <f>-C481+D481</f>
        <v>-50000</v>
      </c>
      <c r="H531" s="746"/>
      <c r="I531" s="746"/>
      <c r="J531" s="746"/>
    </row>
    <row r="532" spans="1:10" s="3" customFormat="1" ht="13">
      <c r="A532" s="489"/>
      <c r="B532" s="489"/>
      <c r="C532" s="490"/>
      <c r="D532" s="490"/>
      <c r="E532" s="490"/>
      <c r="F532" s="620" t="s">
        <v>1689</v>
      </c>
      <c r="G532" s="747"/>
      <c r="H532" s="747"/>
      <c r="I532" s="747"/>
      <c r="J532" s="747"/>
    </row>
    <row r="533" spans="1:10" s="3" customFormat="1" ht="13">
      <c r="A533" s="489" t="s">
        <v>1740</v>
      </c>
      <c r="B533" s="489"/>
      <c r="C533" s="490">
        <v>-29000</v>
      </c>
      <c r="D533" s="490">
        <v>-20000</v>
      </c>
      <c r="E533" s="490">
        <f>C533-D533</f>
        <v>-9000</v>
      </c>
      <c r="F533" s="490">
        <f>-E533</f>
        <v>9000</v>
      </c>
      <c r="G533" s="747"/>
      <c r="H533" s="747"/>
      <c r="I533" s="747"/>
      <c r="J533" s="747"/>
    </row>
    <row r="534" spans="1:10" s="3" customFormat="1" ht="13">
      <c r="A534" s="750"/>
      <c r="B534" s="750"/>
      <c r="C534" s="619"/>
      <c r="D534" s="619"/>
      <c r="E534" s="619"/>
      <c r="F534" s="745"/>
      <c r="G534" s="746"/>
      <c r="H534" s="618" t="s">
        <v>1763</v>
      </c>
      <c r="I534" s="746"/>
      <c r="J534" s="746"/>
    </row>
    <row r="535" spans="1:10" s="3" customFormat="1" ht="13">
      <c r="A535" s="750" t="s">
        <v>75</v>
      </c>
      <c r="B535" s="750"/>
      <c r="C535" s="619">
        <v>-82000</v>
      </c>
      <c r="D535" s="619">
        <v>-71000</v>
      </c>
      <c r="E535" s="619">
        <f>C535-D535</f>
        <v>-11000</v>
      </c>
      <c r="F535" s="746"/>
      <c r="G535" s="746"/>
      <c r="H535" s="619">
        <f>-E535</f>
        <v>11000</v>
      </c>
      <c r="I535" s="746"/>
      <c r="J535" s="746"/>
    </row>
    <row r="536" spans="1:10" s="3" customFormat="1" ht="13">
      <c r="A536" s="489"/>
      <c r="B536" s="489"/>
      <c r="C536" s="490"/>
      <c r="D536" s="490"/>
      <c r="E536" s="490"/>
      <c r="F536" s="620"/>
      <c r="G536" s="620"/>
      <c r="H536" s="490" t="s">
        <v>1598</v>
      </c>
      <c r="I536" s="747"/>
      <c r="J536" s="747"/>
    </row>
    <row r="537" spans="1:10" s="3" customFormat="1" ht="13">
      <c r="A537" s="489" t="s">
        <v>1753</v>
      </c>
      <c r="B537" s="489"/>
      <c r="C537" s="490">
        <f>-(C488+C489)</f>
        <v>-76000</v>
      </c>
      <c r="D537" s="490">
        <f>-D488-D489</f>
        <v>-65000</v>
      </c>
      <c r="E537" s="490">
        <f>C537-D537</f>
        <v>-11000</v>
      </c>
      <c r="F537" s="620"/>
      <c r="G537" s="620"/>
      <c r="H537" s="490">
        <f>-E537</f>
        <v>11000</v>
      </c>
      <c r="I537" s="747"/>
      <c r="J537" s="747"/>
    </row>
    <row r="538" spans="1:10" s="3" customFormat="1" ht="13">
      <c r="A538" s="750"/>
      <c r="B538" s="750"/>
      <c r="C538" s="619"/>
      <c r="D538" s="619"/>
      <c r="E538" s="619"/>
      <c r="F538" s="618" t="s">
        <v>467</v>
      </c>
      <c r="G538" s="746"/>
      <c r="H538" s="619" t="s">
        <v>1767</v>
      </c>
      <c r="I538" s="746"/>
      <c r="J538" s="746"/>
    </row>
    <row r="539" spans="1:10" s="3" customFormat="1" ht="13">
      <c r="A539" s="750" t="s">
        <v>1501</v>
      </c>
      <c r="B539" s="750"/>
      <c r="C539" s="619">
        <f>-C490</f>
        <v>-14000</v>
      </c>
      <c r="D539" s="619">
        <f>-D490</f>
        <v>-4000</v>
      </c>
      <c r="E539" s="619">
        <f>C539-D539</f>
        <v>-10000</v>
      </c>
      <c r="F539" s="619">
        <f>10000-H539</f>
        <v>15000</v>
      </c>
      <c r="G539" s="745"/>
      <c r="H539" s="619">
        <v>-5000</v>
      </c>
      <c r="I539" s="745"/>
      <c r="J539" s="746"/>
    </row>
    <row r="540" spans="1:10" s="3" customFormat="1" ht="13">
      <c r="A540" s="489" t="s">
        <v>436</v>
      </c>
      <c r="B540" s="489"/>
      <c r="C540" s="491">
        <f>SUM(C523:C539)</f>
        <v>0</v>
      </c>
      <c r="D540" s="491">
        <f>SUM(D523:D539)</f>
        <v>0</v>
      </c>
      <c r="E540" s="491">
        <f>SUM(E523:E539)</f>
        <v>0</v>
      </c>
      <c r="F540" s="491">
        <f>SUM(F522:F539)</f>
        <v>60000</v>
      </c>
      <c r="G540" s="491">
        <f>SUM(G522:G539)</f>
        <v>-50000</v>
      </c>
      <c r="H540" s="491">
        <f>SUM(H522:H539)</f>
        <v>17000</v>
      </c>
      <c r="I540" s="491">
        <f>SUM(I522:I539)</f>
        <v>27000</v>
      </c>
      <c r="J540" s="752"/>
    </row>
    <row r="541" spans="1:10" s="3" customFormat="1" ht="13"/>
    <row r="542" spans="1:10" s="3" customFormat="1" ht="13">
      <c r="F542" s="3" t="s">
        <v>2383</v>
      </c>
      <c r="H542" s="447">
        <f>F540+G540+H540</f>
        <v>27000</v>
      </c>
      <c r="I542" s="3" t="s">
        <v>2384</v>
      </c>
    </row>
    <row r="543" spans="1:10" s="3" customFormat="1" ht="13"/>
    <row r="544" spans="1:10" s="3" customFormat="1" ht="13">
      <c r="A544" s="3" t="s">
        <v>1771</v>
      </c>
    </row>
    <row r="545" spans="1:6" s="3" customFormat="1" ht="13">
      <c r="A545" s="3" t="s">
        <v>1788</v>
      </c>
    </row>
    <row r="546" spans="1:6" s="3" customFormat="1" ht="13">
      <c r="A546" s="3" t="s">
        <v>1789</v>
      </c>
    </row>
    <row r="547" spans="1:6" s="3" customFormat="1" ht="14" thickBot="1"/>
    <row r="548" spans="1:6" s="3" customFormat="1" ht="13">
      <c r="A548" s="461" t="s">
        <v>1772</v>
      </c>
      <c r="B548" s="591"/>
      <c r="C548" s="591"/>
      <c r="D548" s="591"/>
      <c r="E548" s="591"/>
      <c r="F548" s="454"/>
    </row>
    <row r="549" spans="1:6" s="3" customFormat="1" ht="13">
      <c r="A549" s="455"/>
      <c r="F549" s="592"/>
    </row>
    <row r="550" spans="1:6" s="3" customFormat="1" ht="13">
      <c r="A550" s="621" t="s">
        <v>1773</v>
      </c>
      <c r="F550" s="592"/>
    </row>
    <row r="551" spans="1:6" s="3" customFormat="1" ht="13">
      <c r="A551" s="455" t="s">
        <v>467</v>
      </c>
      <c r="E551" s="660">
        <f>F539</f>
        <v>15000</v>
      </c>
      <c r="F551" s="592"/>
    </row>
    <row r="552" spans="1:6" s="3" customFormat="1" ht="13">
      <c r="A552" s="455"/>
      <c r="E552" s="657"/>
      <c r="F552" s="592"/>
    </row>
    <row r="553" spans="1:6" s="3" customFormat="1" ht="13">
      <c r="A553" s="455" t="s">
        <v>1774</v>
      </c>
      <c r="E553" s="657"/>
      <c r="F553" s="592"/>
    </row>
    <row r="554" spans="1:6" s="3" customFormat="1" ht="13">
      <c r="A554" s="455"/>
      <c r="E554" s="657"/>
      <c r="F554" s="592"/>
    </row>
    <row r="555" spans="1:6" s="3" customFormat="1" ht="13">
      <c r="A555" s="622" t="s">
        <v>1775</v>
      </c>
      <c r="E555" s="657"/>
      <c r="F555" s="592"/>
    </row>
    <row r="556" spans="1:6" s="3" customFormat="1" ht="13">
      <c r="A556" s="753"/>
      <c r="B556" s="489" t="s">
        <v>587</v>
      </c>
      <c r="C556" s="489"/>
      <c r="D556" s="489"/>
      <c r="E556" s="660">
        <f>F531</f>
        <v>15000</v>
      </c>
      <c r="F556" s="592"/>
    </row>
    <row r="557" spans="1:6" s="3" customFormat="1" ht="13">
      <c r="A557" s="753"/>
      <c r="B557" s="489"/>
      <c r="C557" s="489"/>
      <c r="D557" s="489"/>
      <c r="E557" s="489"/>
      <c r="F557" s="592"/>
    </row>
    <row r="558" spans="1:6" s="3" customFormat="1" ht="13">
      <c r="A558" s="622" t="s">
        <v>1776</v>
      </c>
      <c r="E558" s="657"/>
      <c r="F558" s="592"/>
    </row>
    <row r="559" spans="1:6" s="3" customFormat="1" ht="13">
      <c r="A559" s="753"/>
      <c r="B559" s="489" t="s">
        <v>1687</v>
      </c>
      <c r="C559" s="489"/>
      <c r="D559" s="489"/>
      <c r="E559" s="660">
        <f>F525</f>
        <v>2000</v>
      </c>
      <c r="F559" s="592"/>
    </row>
    <row r="560" spans="1:6" s="3" customFormat="1" ht="13">
      <c r="A560" s="753"/>
      <c r="B560" s="489" t="s">
        <v>1760</v>
      </c>
      <c r="C560" s="489"/>
      <c r="D560" s="489"/>
      <c r="E560" s="660">
        <f>F527</f>
        <v>24000</v>
      </c>
      <c r="F560" s="592"/>
    </row>
    <row r="561" spans="1:6" s="3" customFormat="1" ht="13">
      <c r="A561" s="753"/>
      <c r="B561" s="489" t="s">
        <v>1761</v>
      </c>
      <c r="C561" s="489"/>
      <c r="D561" s="489"/>
      <c r="E561" s="660">
        <f>F529</f>
        <v>-5000</v>
      </c>
      <c r="F561" s="592"/>
    </row>
    <row r="562" spans="1:6" s="3" customFormat="1" ht="13">
      <c r="A562" s="753"/>
      <c r="B562" s="489" t="s">
        <v>1783</v>
      </c>
      <c r="C562" s="489"/>
      <c r="D562" s="489"/>
      <c r="E562" s="660">
        <f>F533</f>
        <v>9000</v>
      </c>
      <c r="F562" s="592"/>
    </row>
    <row r="563" spans="1:6" s="3" customFormat="1" ht="13">
      <c r="A563" s="753"/>
      <c r="B563" s="489"/>
      <c r="C563" s="489"/>
      <c r="D563" s="489"/>
      <c r="E563" s="489"/>
      <c r="F563" s="592"/>
    </row>
    <row r="564" spans="1:6" s="3" customFormat="1" ht="13">
      <c r="A564" s="455" t="s">
        <v>1777</v>
      </c>
      <c r="E564" s="661">
        <f>SUM(E551:E562)</f>
        <v>60000</v>
      </c>
      <c r="F564" s="592"/>
    </row>
    <row r="565" spans="1:6" s="3" customFormat="1" ht="13">
      <c r="A565" s="455"/>
      <c r="F565" s="592"/>
    </row>
    <row r="566" spans="1:6" s="3" customFormat="1" ht="13">
      <c r="A566" s="621" t="s">
        <v>1778</v>
      </c>
      <c r="F566" s="592"/>
    </row>
    <row r="567" spans="1:6" s="3" customFormat="1" ht="13">
      <c r="A567" s="753" t="s">
        <v>1784</v>
      </c>
      <c r="B567" s="489"/>
      <c r="C567" s="489"/>
      <c r="D567" s="489"/>
      <c r="E567" s="660">
        <f>G531</f>
        <v>-50000</v>
      </c>
      <c r="F567" s="592"/>
    </row>
    <row r="568" spans="1:6" s="3" customFormat="1" ht="13">
      <c r="A568" s="753" t="s">
        <v>1785</v>
      </c>
      <c r="B568" s="489"/>
      <c r="C568" s="489"/>
      <c r="D568" s="489"/>
      <c r="E568" s="661">
        <f>E567</f>
        <v>-50000</v>
      </c>
      <c r="F568" s="592"/>
    </row>
    <row r="569" spans="1:6" s="3" customFormat="1" ht="13">
      <c r="A569" s="455"/>
      <c r="F569" s="592"/>
    </row>
    <row r="570" spans="1:6" s="3" customFormat="1" ht="13">
      <c r="A570" s="621" t="s">
        <v>1779</v>
      </c>
      <c r="F570" s="592"/>
    </row>
    <row r="571" spans="1:6" s="3" customFormat="1" ht="13">
      <c r="A571" s="753" t="s">
        <v>1786</v>
      </c>
      <c r="B571" s="489"/>
      <c r="C571" s="489"/>
      <c r="D571" s="489"/>
      <c r="E571" s="660">
        <f>H535</f>
        <v>11000</v>
      </c>
      <c r="F571" s="592"/>
    </row>
    <row r="572" spans="1:6" s="3" customFormat="1" ht="13">
      <c r="A572" s="753" t="s">
        <v>1598</v>
      </c>
      <c r="B572" s="489"/>
      <c r="C572" s="489"/>
      <c r="D572" s="489"/>
      <c r="E572" s="660">
        <f>H537</f>
        <v>11000</v>
      </c>
      <c r="F572" s="592"/>
    </row>
    <row r="573" spans="1:6" s="3" customFormat="1" ht="13">
      <c r="A573" s="753" t="s">
        <v>1767</v>
      </c>
      <c r="B573" s="489"/>
      <c r="C573" s="489"/>
      <c r="D573" s="489"/>
      <c r="E573" s="660">
        <f>H539</f>
        <v>-5000</v>
      </c>
      <c r="F573" s="592"/>
    </row>
    <row r="574" spans="1:6" s="3" customFormat="1" ht="13">
      <c r="A574" s="753" t="s">
        <v>1787</v>
      </c>
      <c r="B574" s="489"/>
      <c r="C574" s="489"/>
      <c r="D574" s="489"/>
      <c r="E574" s="661">
        <f>SUM(E571:E573)</f>
        <v>17000</v>
      </c>
      <c r="F574" s="592"/>
    </row>
    <row r="575" spans="1:6" s="3" customFormat="1" ht="13">
      <c r="A575" s="455"/>
      <c r="F575" s="592"/>
    </row>
    <row r="576" spans="1:6" s="3" customFormat="1" ht="13">
      <c r="A576" s="455"/>
      <c r="F576" s="592"/>
    </row>
    <row r="577" spans="1:8" s="3" customFormat="1" ht="13">
      <c r="A577" s="455"/>
      <c r="F577" s="592"/>
    </row>
    <row r="578" spans="1:8" s="3" customFormat="1" ht="13">
      <c r="A578" s="621" t="s">
        <v>1780</v>
      </c>
      <c r="B578" s="443"/>
      <c r="C578" s="443"/>
      <c r="D578" s="443"/>
      <c r="E578" s="754">
        <f>E564+E568+E574</f>
        <v>27000</v>
      </c>
      <c r="F578" s="592"/>
    </row>
    <row r="579" spans="1:8" s="3" customFormat="1" ht="13">
      <c r="A579" s="621" t="s">
        <v>1848</v>
      </c>
      <c r="B579" s="443"/>
      <c r="C579" s="443"/>
      <c r="D579" s="443"/>
      <c r="E579" s="754">
        <f>D523</f>
        <v>13000</v>
      </c>
      <c r="F579" s="592"/>
    </row>
    <row r="580" spans="1:8" s="3" customFormat="1" ht="14" thickBot="1">
      <c r="A580" s="623" t="s">
        <v>1849</v>
      </c>
      <c r="B580" s="624"/>
      <c r="C580" s="624"/>
      <c r="D580" s="624"/>
      <c r="E580" s="755">
        <f>E578+E579</f>
        <v>40000</v>
      </c>
      <c r="F580" s="593"/>
    </row>
    <row r="581" spans="1:8" s="3" customFormat="1" ht="13"/>
    <row r="583" spans="1:8" ht="17" thickBot="1"/>
    <row r="584" spans="1:8">
      <c r="A584" s="114" t="s">
        <v>2386</v>
      </c>
      <c r="B584" s="723"/>
      <c r="C584" s="723"/>
      <c r="D584" s="723"/>
      <c r="E584" s="723"/>
      <c r="F584" s="723"/>
      <c r="G584" s="723"/>
      <c r="H584" s="724"/>
    </row>
    <row r="585" spans="1:8" ht="17" thickBot="1">
      <c r="A585" s="756" t="s">
        <v>2385</v>
      </c>
      <c r="B585" s="524"/>
      <c r="C585" s="524"/>
      <c r="D585" s="524"/>
      <c r="E585" s="524"/>
      <c r="F585" s="524"/>
      <c r="G585" s="524"/>
      <c r="H585" s="525"/>
    </row>
    <row r="587" spans="1:8">
      <c r="A587" s="63" t="s">
        <v>2387</v>
      </c>
    </row>
    <row r="589" spans="1:8">
      <c r="C589" s="526">
        <v>45657</v>
      </c>
      <c r="D589" s="534" t="s">
        <v>2388</v>
      </c>
    </row>
    <row r="590" spans="1:8">
      <c r="B590" s="63" t="s">
        <v>197</v>
      </c>
      <c r="C590" s="64">
        <v>60000</v>
      </c>
      <c r="D590" s="64">
        <v>40000</v>
      </c>
    </row>
    <row r="591" spans="1:8">
      <c r="B591" s="63" t="s">
        <v>540</v>
      </c>
      <c r="C591" s="64">
        <v>88000</v>
      </c>
      <c r="D591" s="64">
        <v>90000</v>
      </c>
    </row>
    <row r="593" spans="1:10">
      <c r="A593" s="63" t="s">
        <v>2389</v>
      </c>
    </row>
    <row r="594" spans="1:10">
      <c r="A594" s="63" t="s">
        <v>2390</v>
      </c>
    </row>
    <row r="595" spans="1:10">
      <c r="A595" s="63" t="s">
        <v>2391</v>
      </c>
    </row>
    <row r="597" spans="1:10">
      <c r="A597" s="5" t="s">
        <v>2392</v>
      </c>
    </row>
    <row r="599" spans="1:10">
      <c r="A599" s="5" t="s">
        <v>2393</v>
      </c>
      <c r="C599" s="528">
        <v>45657</v>
      </c>
      <c r="D599" s="528">
        <v>45291</v>
      </c>
      <c r="E599" s="507" t="s">
        <v>1678</v>
      </c>
      <c r="F599" s="507" t="s">
        <v>1679</v>
      </c>
      <c r="G599" s="507" t="s">
        <v>1680</v>
      </c>
      <c r="H599" s="507" t="s">
        <v>1681</v>
      </c>
      <c r="I599" s="507" t="s">
        <v>66</v>
      </c>
      <c r="J599" s="507" t="s">
        <v>1755</v>
      </c>
    </row>
    <row r="600" spans="1:10" ht="102">
      <c r="A600" s="63" t="s">
        <v>1753</v>
      </c>
      <c r="C600" s="759">
        <f>-(C590+C591)</f>
        <v>-148000</v>
      </c>
      <c r="D600" s="759">
        <f>-(D590+D591)</f>
        <v>-130000</v>
      </c>
      <c r="E600" s="759">
        <f>C600-D600</f>
        <v>-18000</v>
      </c>
      <c r="F600" s="759"/>
      <c r="G600" s="759"/>
      <c r="H600" s="760">
        <f>C607</f>
        <v>18000</v>
      </c>
      <c r="I600" s="759"/>
      <c r="J600" s="758" t="s">
        <v>2400</v>
      </c>
    </row>
    <row r="602" spans="1:10">
      <c r="A602" s="63" t="s">
        <v>2394</v>
      </c>
    </row>
    <row r="603" spans="1:10">
      <c r="A603" s="63" t="s">
        <v>2395</v>
      </c>
    </row>
    <row r="605" spans="1:10">
      <c r="C605" s="63" t="s">
        <v>197</v>
      </c>
      <c r="H605" s="505" t="s">
        <v>540</v>
      </c>
      <c r="I605" s="505"/>
    </row>
    <row r="606" spans="1:10">
      <c r="A606" s="727">
        <v>45291</v>
      </c>
      <c r="B606" s="63" t="s">
        <v>1596</v>
      </c>
      <c r="C606" s="64">
        <f>D590</f>
        <v>40000</v>
      </c>
      <c r="F606" s="727">
        <v>45291</v>
      </c>
      <c r="G606" s="63" t="s">
        <v>1596</v>
      </c>
      <c r="H606" s="496">
        <f>D591</f>
        <v>90000</v>
      </c>
      <c r="I606" s="505"/>
    </row>
    <row r="607" spans="1:10">
      <c r="A607" s="63">
        <v>2024</v>
      </c>
      <c r="B607" s="63" t="s">
        <v>2396</v>
      </c>
      <c r="C607" s="757">
        <f>C609-C608-C606</f>
        <v>18000</v>
      </c>
      <c r="D607" s="63" t="s">
        <v>2398</v>
      </c>
      <c r="F607" s="63">
        <v>2024</v>
      </c>
      <c r="G607" s="63" t="s">
        <v>2396</v>
      </c>
      <c r="H607" s="505">
        <v>0</v>
      </c>
      <c r="I607" s="535" t="s">
        <v>2397</v>
      </c>
    </row>
    <row r="608" spans="1:10">
      <c r="A608" s="63">
        <v>2024</v>
      </c>
      <c r="B608" s="63" t="s">
        <v>1607</v>
      </c>
      <c r="C608" s="503">
        <f>-H608</f>
        <v>2000</v>
      </c>
      <c r="F608" s="63">
        <v>2024</v>
      </c>
      <c r="G608" s="63" t="s">
        <v>1607</v>
      </c>
      <c r="H608" s="571">
        <f>H609-H607-H606</f>
        <v>-2000</v>
      </c>
      <c r="I608" s="505" t="s">
        <v>1508</v>
      </c>
    </row>
    <row r="609" spans="1:9">
      <c r="A609" s="727">
        <v>45657</v>
      </c>
      <c r="B609" s="63" t="s">
        <v>1022</v>
      </c>
      <c r="C609" s="64">
        <f>C590</f>
        <v>60000</v>
      </c>
      <c r="F609" s="727">
        <v>45657</v>
      </c>
      <c r="G609" s="63" t="s">
        <v>1022</v>
      </c>
      <c r="H609" s="496">
        <f>C591</f>
        <v>88000</v>
      </c>
      <c r="I609" s="505"/>
    </row>
    <row r="611" spans="1:9">
      <c r="B611" s="63" t="s">
        <v>2399</v>
      </c>
    </row>
    <row r="613" spans="1:9">
      <c r="A613" s="5" t="s">
        <v>2401</v>
      </c>
    </row>
    <row r="615" spans="1:9">
      <c r="A615" s="532" t="s">
        <v>2402</v>
      </c>
    </row>
    <row r="616" spans="1:9">
      <c r="B616" s="63" t="s">
        <v>1507</v>
      </c>
      <c r="D616" s="64">
        <f>C607</f>
        <v>18000</v>
      </c>
    </row>
    <row r="618" spans="1:9">
      <c r="A618" s="532" t="s">
        <v>2403</v>
      </c>
    </row>
    <row r="619" spans="1:9">
      <c r="B619" s="63" t="s">
        <v>2404</v>
      </c>
    </row>
  </sheetData>
  <mergeCells count="8">
    <mergeCell ref="B153:C153"/>
    <mergeCell ref="B152:C152"/>
    <mergeCell ref="L325:Q325"/>
    <mergeCell ref="F146:F147"/>
    <mergeCell ref="I146:I147"/>
    <mergeCell ref="B147:C147"/>
    <mergeCell ref="B146:C146"/>
    <mergeCell ref="B151:C151"/>
  </mergeCells>
  <pageMargins left="0.7" right="0.7" top="0.75" bottom="0.75" header="0.3" footer="0.3"/>
  <ignoredErrors>
    <ignoredError sqref="N311" formula="1"/>
  </ignoredErrors>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B0AC9-244E-CB4A-8C5F-2ED45BFADD36}">
  <dimension ref="A7:J130"/>
  <sheetViews>
    <sheetView rightToLeft="1" workbookViewId="0">
      <selection activeCell="E36" sqref="E36"/>
    </sheetView>
  </sheetViews>
  <sheetFormatPr baseColWidth="10" defaultRowHeight="13"/>
  <sheetData>
    <row r="7" spans="1:8" s="3" customFormat="1">
      <c r="A7" s="598" t="s">
        <v>1791</v>
      </c>
      <c r="B7" s="598"/>
      <c r="C7" s="598"/>
      <c r="D7" s="598"/>
      <c r="E7" s="598"/>
      <c r="F7" s="598"/>
      <c r="G7" s="598"/>
      <c r="H7" s="598"/>
    </row>
    <row r="8" spans="1:8" s="3" customFormat="1"/>
    <row r="9" spans="1:8" s="3" customFormat="1">
      <c r="A9" s="3" t="s">
        <v>1792</v>
      </c>
    </row>
    <row r="10" spans="1:8" s="3" customFormat="1"/>
    <row r="11" spans="1:8" s="3" customFormat="1">
      <c r="A11" s="3" t="s">
        <v>452</v>
      </c>
      <c r="C11" s="594">
        <v>33238</v>
      </c>
      <c r="D11" s="594">
        <v>32873</v>
      </c>
    </row>
    <row r="12" spans="1:8" s="3" customFormat="1">
      <c r="C12" s="595" t="s">
        <v>644</v>
      </c>
      <c r="D12" s="595" t="s">
        <v>644</v>
      </c>
    </row>
    <row r="13" spans="1:8" s="3" customFormat="1">
      <c r="A13" s="3" t="s">
        <v>1739</v>
      </c>
      <c r="C13" s="449">
        <v>98000</v>
      </c>
      <c r="D13" s="449">
        <v>72000</v>
      </c>
    </row>
    <row r="14" spans="1:8" s="3" customFormat="1">
      <c r="A14" s="3" t="s">
        <v>845</v>
      </c>
      <c r="C14" s="449">
        <v>73000</v>
      </c>
      <c r="D14" s="449">
        <v>49000</v>
      </c>
    </row>
    <row r="15" spans="1:8" s="3" customFormat="1">
      <c r="A15" s="3" t="s">
        <v>931</v>
      </c>
      <c r="C15" s="449">
        <v>28000</v>
      </c>
      <c r="D15" s="449">
        <v>34000</v>
      </c>
    </row>
    <row r="16" spans="1:8" s="3" customFormat="1">
      <c r="A16" s="3" t="s">
        <v>557</v>
      </c>
      <c r="C16" s="449">
        <v>39000</v>
      </c>
      <c r="D16" s="449">
        <v>32000</v>
      </c>
    </row>
    <row r="17" spans="1:4" s="3" customFormat="1">
      <c r="A17" s="626" t="s">
        <v>1793</v>
      </c>
      <c r="B17" s="626"/>
      <c r="C17" s="627">
        <v>230000</v>
      </c>
      <c r="D17" s="627">
        <v>170000</v>
      </c>
    </row>
    <row r="18" spans="1:4" s="3" customFormat="1">
      <c r="A18" s="3" t="s">
        <v>1547</v>
      </c>
      <c r="C18" s="449">
        <v>210000</v>
      </c>
      <c r="D18" s="449">
        <v>190000</v>
      </c>
    </row>
    <row r="19" spans="1:4" s="3" customFormat="1">
      <c r="A19" s="3" t="s">
        <v>1548</v>
      </c>
      <c r="C19" s="449">
        <v>-80000</v>
      </c>
      <c r="D19" s="449">
        <v>-90000</v>
      </c>
    </row>
    <row r="20" spans="1:4" s="3" customFormat="1">
      <c r="C20" s="450">
        <f>SUM(C13:C19)</f>
        <v>598000</v>
      </c>
      <c r="D20" s="450">
        <f>SUM(D13:D19)</f>
        <v>457000</v>
      </c>
    </row>
    <row r="21" spans="1:4" s="3" customFormat="1">
      <c r="C21" s="449"/>
      <c r="D21" s="449"/>
    </row>
    <row r="22" spans="1:4" s="3" customFormat="1">
      <c r="A22" s="3" t="s">
        <v>771</v>
      </c>
      <c r="C22" s="449">
        <v>70000</v>
      </c>
      <c r="D22" s="449">
        <v>70000</v>
      </c>
    </row>
    <row r="23" spans="1:4" s="3" customFormat="1">
      <c r="A23" s="3" t="s">
        <v>1740</v>
      </c>
      <c r="C23" s="449">
        <v>17000</v>
      </c>
      <c r="D23" s="449">
        <v>34000</v>
      </c>
    </row>
    <row r="24" spans="1:4" s="3" customFormat="1">
      <c r="A24" s="3" t="s">
        <v>1794</v>
      </c>
      <c r="C24" s="449">
        <v>72000</v>
      </c>
      <c r="D24" s="449">
        <v>68000</v>
      </c>
    </row>
    <row r="25" spans="1:4" s="3" customFormat="1">
      <c r="A25" s="626" t="s">
        <v>1795</v>
      </c>
      <c r="B25" s="626"/>
      <c r="C25" s="627">
        <v>14000</v>
      </c>
      <c r="D25" s="627">
        <v>0</v>
      </c>
    </row>
    <row r="26" spans="1:4" s="3" customFormat="1">
      <c r="A26" s="3" t="s">
        <v>1796</v>
      </c>
      <c r="C26" s="449">
        <v>75000</v>
      </c>
      <c r="D26" s="449">
        <v>68000</v>
      </c>
    </row>
    <row r="27" spans="1:4" s="3" customFormat="1">
      <c r="A27" s="3" t="s">
        <v>1552</v>
      </c>
      <c r="C27" s="449">
        <v>110000</v>
      </c>
      <c r="D27" s="449">
        <v>90000</v>
      </c>
    </row>
    <row r="28" spans="1:4" s="3" customFormat="1">
      <c r="A28" s="3" t="s">
        <v>1501</v>
      </c>
      <c r="C28" s="449">
        <f>C20-C22-C23-C24-C25-C26-C27</f>
        <v>240000</v>
      </c>
      <c r="D28" s="449">
        <f>D20-D22-D23-D24-D25-D26-D27</f>
        <v>127000</v>
      </c>
    </row>
    <row r="29" spans="1:4" s="3" customFormat="1">
      <c r="C29" s="450">
        <f>SUM(C22:C28)</f>
        <v>598000</v>
      </c>
      <c r="D29" s="450">
        <f>SUM(D22:D28)</f>
        <v>457000</v>
      </c>
    </row>
    <row r="30" spans="1:4" s="3" customFormat="1"/>
    <row r="31" spans="1:4" s="3" customFormat="1">
      <c r="A31" s="3" t="s">
        <v>1797</v>
      </c>
    </row>
    <row r="32" spans="1:4" s="3" customFormat="1">
      <c r="A32" s="3" t="s">
        <v>1805</v>
      </c>
    </row>
    <row r="33" spans="1:10" s="3" customFormat="1">
      <c r="A33" s="3" t="s">
        <v>1850</v>
      </c>
    </row>
    <row r="34" spans="1:10" s="3" customFormat="1">
      <c r="A34" s="3" t="s">
        <v>1798</v>
      </c>
    </row>
    <row r="35" spans="1:10" s="3" customFormat="1">
      <c r="A35" s="3" t="s">
        <v>1799</v>
      </c>
    </row>
    <row r="36" spans="1:10" s="3" customFormat="1">
      <c r="A36" s="3" t="s">
        <v>1800</v>
      </c>
    </row>
    <row r="37" spans="1:10" s="3" customFormat="1">
      <c r="A37" s="3" t="s">
        <v>1801</v>
      </c>
    </row>
    <row r="38" spans="1:10" s="3" customFormat="1"/>
    <row r="39" spans="1:10" s="3" customFormat="1">
      <c r="A39" s="3" t="s">
        <v>1802</v>
      </c>
    </row>
    <row r="40" spans="1:10" s="3" customFormat="1"/>
    <row r="41" spans="1:10" s="3" customFormat="1">
      <c r="A41" s="598" t="s">
        <v>1803</v>
      </c>
      <c r="B41" s="598"/>
      <c r="C41" s="598"/>
      <c r="D41" s="598"/>
      <c r="E41" s="598"/>
      <c r="F41" s="598"/>
      <c r="G41" s="598"/>
      <c r="H41" s="598"/>
    </row>
    <row r="42" spans="1:10" s="3" customFormat="1"/>
    <row r="43" spans="1:10" s="3" customFormat="1">
      <c r="A43" s="443" t="s">
        <v>1751</v>
      </c>
      <c r="C43" s="600">
        <v>33238</v>
      </c>
      <c r="D43" s="600">
        <v>32873</v>
      </c>
      <c r="E43" s="602" t="s">
        <v>1678</v>
      </c>
      <c r="F43" s="602" t="s">
        <v>1679</v>
      </c>
      <c r="G43" s="602" t="s">
        <v>1680</v>
      </c>
      <c r="H43" s="602" t="s">
        <v>1681</v>
      </c>
      <c r="I43" s="602" t="s">
        <v>66</v>
      </c>
      <c r="J43" s="602" t="s">
        <v>1755</v>
      </c>
    </row>
    <row r="44" spans="1:10" s="3" customFormat="1">
      <c r="A44" s="603"/>
      <c r="B44" s="604"/>
      <c r="C44" s="615"/>
      <c r="D44" s="615"/>
      <c r="E44" s="628"/>
      <c r="F44" s="616"/>
      <c r="G44" s="616"/>
      <c r="H44" s="616"/>
      <c r="I44" s="619" t="s">
        <v>1686</v>
      </c>
      <c r="J44" s="616"/>
    </row>
    <row r="45" spans="1:10" s="3" customFormat="1">
      <c r="A45" s="604" t="s">
        <v>1739</v>
      </c>
      <c r="B45" s="604"/>
      <c r="C45" s="607">
        <v>98000</v>
      </c>
      <c r="D45" s="607">
        <v>72000</v>
      </c>
      <c r="E45" s="619">
        <f>C45-D45</f>
        <v>26000</v>
      </c>
      <c r="F45" s="609"/>
      <c r="G45" s="609"/>
      <c r="H45" s="609"/>
      <c r="I45" s="619">
        <f>E45</f>
        <v>26000</v>
      </c>
      <c r="J45" s="609"/>
    </row>
    <row r="46" spans="1:10" s="3" customFormat="1">
      <c r="C46" s="449"/>
      <c r="D46" s="449"/>
      <c r="E46" s="490"/>
      <c r="F46" s="490" t="s">
        <v>1811</v>
      </c>
      <c r="G46" s="449"/>
      <c r="H46" s="449"/>
      <c r="I46" s="449"/>
      <c r="J46" s="449"/>
    </row>
    <row r="47" spans="1:10" s="3" customFormat="1">
      <c r="A47" s="3" t="s">
        <v>845</v>
      </c>
      <c r="C47" s="449">
        <v>73000</v>
      </c>
      <c r="D47" s="449">
        <v>49000</v>
      </c>
      <c r="E47" s="490">
        <f>C47-D47</f>
        <v>24000</v>
      </c>
      <c r="F47" s="490">
        <f>-E47</f>
        <v>-24000</v>
      </c>
      <c r="G47" s="449"/>
      <c r="H47" s="449"/>
      <c r="I47" s="449"/>
      <c r="J47" s="449"/>
    </row>
    <row r="48" spans="1:10" s="3" customFormat="1">
      <c r="A48" s="604"/>
      <c r="B48" s="604"/>
      <c r="C48" s="607"/>
      <c r="D48" s="607"/>
      <c r="E48" s="619"/>
      <c r="F48" s="619" t="s">
        <v>1760</v>
      </c>
      <c r="G48" s="609"/>
      <c r="H48" s="609"/>
      <c r="I48" s="609"/>
      <c r="J48" s="609"/>
    </row>
    <row r="49" spans="1:10" s="3" customFormat="1">
      <c r="A49" s="604" t="s">
        <v>931</v>
      </c>
      <c r="B49" s="604"/>
      <c r="C49" s="607">
        <v>28000</v>
      </c>
      <c r="D49" s="607">
        <v>34000</v>
      </c>
      <c r="E49" s="619">
        <f>C49-D49</f>
        <v>-6000</v>
      </c>
      <c r="F49" s="619">
        <f>-E49</f>
        <v>6000</v>
      </c>
      <c r="G49" s="609"/>
      <c r="H49" s="609"/>
      <c r="I49" s="609"/>
      <c r="J49" s="609"/>
    </row>
    <row r="50" spans="1:10" s="3" customFormat="1">
      <c r="C50" s="449"/>
      <c r="D50" s="449"/>
      <c r="E50" s="490"/>
      <c r="F50" s="490" t="s">
        <v>1761</v>
      </c>
      <c r="G50" s="449"/>
      <c r="H50" s="449"/>
      <c r="I50" s="449"/>
      <c r="J50" s="449"/>
    </row>
    <row r="51" spans="1:10" s="3" customFormat="1">
      <c r="A51" s="3" t="s">
        <v>557</v>
      </c>
      <c r="C51" s="449">
        <v>39000</v>
      </c>
      <c r="D51" s="449">
        <v>32000</v>
      </c>
      <c r="E51" s="490">
        <f>C51-D51</f>
        <v>7000</v>
      </c>
      <c r="F51" s="490">
        <f>-E51</f>
        <v>-7000</v>
      </c>
      <c r="G51" s="449"/>
      <c r="H51" s="449"/>
      <c r="I51" s="449"/>
      <c r="J51" s="449"/>
    </row>
    <row r="52" spans="1:10" s="3" customFormat="1">
      <c r="A52" s="604"/>
      <c r="B52" s="604"/>
      <c r="C52" s="607"/>
      <c r="D52" s="607"/>
      <c r="E52" s="619"/>
      <c r="F52" s="609"/>
      <c r="G52" s="619" t="s">
        <v>1808</v>
      </c>
      <c r="H52" s="609"/>
      <c r="I52" s="609"/>
      <c r="J52" s="619" t="s">
        <v>1806</v>
      </c>
    </row>
    <row r="53" spans="1:10" s="3" customFormat="1">
      <c r="A53" s="604" t="s">
        <v>1793</v>
      </c>
      <c r="B53" s="604"/>
      <c r="C53" s="607">
        <v>230000</v>
      </c>
      <c r="D53" s="607">
        <v>170000</v>
      </c>
      <c r="E53" s="619">
        <f>C53-D53</f>
        <v>60000</v>
      </c>
      <c r="F53" s="609"/>
      <c r="G53" s="619">
        <f>-60000-J53</f>
        <v>-46000</v>
      </c>
      <c r="H53" s="609"/>
      <c r="I53" s="609"/>
      <c r="J53" s="619">
        <f>-14000</f>
        <v>-14000</v>
      </c>
    </row>
    <row r="54" spans="1:10" s="3" customFormat="1">
      <c r="C54" s="449"/>
      <c r="D54" s="449"/>
      <c r="E54" s="490"/>
      <c r="F54" s="490" t="s">
        <v>587</v>
      </c>
      <c r="G54" s="490" t="s">
        <v>1808</v>
      </c>
      <c r="H54" s="490"/>
      <c r="I54" s="449"/>
      <c r="J54" s="449"/>
    </row>
    <row r="55" spans="1:10" s="3" customFormat="1">
      <c r="A55" s="3" t="s">
        <v>1804</v>
      </c>
      <c r="C55" s="449">
        <f>C18+C19</f>
        <v>130000</v>
      </c>
      <c r="D55" s="449">
        <f>D18+D19</f>
        <v>100000</v>
      </c>
      <c r="E55" s="490">
        <f>C55-D55</f>
        <v>30000</v>
      </c>
      <c r="F55" s="629">
        <f>-D81</f>
        <v>8000</v>
      </c>
      <c r="G55" s="629">
        <f>-D87</f>
        <v>-70000</v>
      </c>
      <c r="H55" s="490"/>
      <c r="I55" s="449"/>
      <c r="J55" s="449"/>
    </row>
    <row r="56" spans="1:10" s="3" customFormat="1">
      <c r="C56" s="449"/>
      <c r="D56" s="449"/>
      <c r="E56" s="490"/>
      <c r="F56" s="490" t="s">
        <v>1398</v>
      </c>
      <c r="G56" s="490" t="s">
        <v>1818</v>
      </c>
      <c r="H56" s="490"/>
      <c r="I56" s="449"/>
      <c r="J56" s="449"/>
    </row>
    <row r="57" spans="1:10" s="3" customFormat="1">
      <c r="C57" s="449"/>
      <c r="D57" s="449"/>
      <c r="E57" s="490"/>
      <c r="F57" s="640">
        <f>-G81</f>
        <v>-5000</v>
      </c>
      <c r="G57" s="490">
        <f>G79</f>
        <v>37000</v>
      </c>
      <c r="H57" s="490"/>
      <c r="I57" s="449"/>
      <c r="J57" s="449"/>
    </row>
    <row r="58" spans="1:10" s="3" customFormat="1">
      <c r="A58" s="604" t="s">
        <v>771</v>
      </c>
      <c r="B58" s="604"/>
      <c r="C58" s="607">
        <f>-C22</f>
        <v>-70000</v>
      </c>
      <c r="D58" s="607">
        <f>-D22</f>
        <v>-70000</v>
      </c>
      <c r="E58" s="619">
        <f>C58-D58</f>
        <v>0</v>
      </c>
      <c r="F58" s="641" t="s">
        <v>1809</v>
      </c>
      <c r="G58" s="641"/>
      <c r="H58" s="641"/>
      <c r="I58" s="641"/>
      <c r="J58" s="641"/>
    </row>
    <row r="59" spans="1:10" s="3" customFormat="1">
      <c r="C59" s="449"/>
      <c r="D59" s="449"/>
      <c r="E59" s="490"/>
      <c r="F59" s="490" t="s">
        <v>1812</v>
      </c>
      <c r="G59" s="614"/>
      <c r="H59" s="614"/>
      <c r="I59" s="614"/>
      <c r="J59" s="614"/>
    </row>
    <row r="60" spans="1:10" s="3" customFormat="1">
      <c r="A60" s="3" t="s">
        <v>1740</v>
      </c>
      <c r="C60" s="449">
        <f>-C23</f>
        <v>-17000</v>
      </c>
      <c r="D60" s="449">
        <f>-D23</f>
        <v>-34000</v>
      </c>
      <c r="E60" s="490">
        <f>C60-D60</f>
        <v>17000</v>
      </c>
      <c r="F60" s="490">
        <f>-E60</f>
        <v>-17000</v>
      </c>
      <c r="G60" s="449"/>
      <c r="H60" s="449"/>
      <c r="I60" s="449"/>
      <c r="J60" s="449"/>
    </row>
    <row r="61" spans="1:10" s="3" customFormat="1">
      <c r="A61" s="604"/>
      <c r="B61" s="604"/>
      <c r="C61" s="607"/>
      <c r="D61" s="607"/>
      <c r="E61" s="619"/>
      <c r="F61" s="609"/>
      <c r="G61" s="609"/>
      <c r="H61" s="619" t="s">
        <v>1819</v>
      </c>
      <c r="I61" s="609"/>
      <c r="J61" s="609"/>
    </row>
    <row r="62" spans="1:10" s="3" customFormat="1">
      <c r="A62" s="604" t="s">
        <v>1794</v>
      </c>
      <c r="B62" s="604"/>
      <c r="C62" s="607">
        <f>-C24</f>
        <v>-72000</v>
      </c>
      <c r="D62" s="607">
        <f>-D24</f>
        <v>-68000</v>
      </c>
      <c r="E62" s="619">
        <f>C62-D62</f>
        <v>-4000</v>
      </c>
      <c r="F62" s="609"/>
      <c r="G62" s="609"/>
      <c r="H62" s="619">
        <f>D62</f>
        <v>-68000</v>
      </c>
      <c r="I62" s="609"/>
      <c r="J62" s="609"/>
    </row>
    <row r="63" spans="1:10" s="3" customFormat="1">
      <c r="A63" s="604"/>
      <c r="B63" s="604"/>
      <c r="C63" s="607"/>
      <c r="D63" s="607"/>
      <c r="E63" s="619"/>
      <c r="F63" s="609"/>
      <c r="G63" s="609"/>
      <c r="H63" s="619" t="s">
        <v>1820</v>
      </c>
      <c r="I63" s="609"/>
      <c r="J63" s="609"/>
    </row>
    <row r="64" spans="1:10" s="3" customFormat="1">
      <c r="A64" s="604"/>
      <c r="B64" s="604"/>
      <c r="C64" s="607"/>
      <c r="D64" s="607"/>
      <c r="E64" s="619"/>
      <c r="F64" s="609"/>
      <c r="G64" s="609"/>
      <c r="H64" s="619">
        <f>-C62</f>
        <v>72000</v>
      </c>
      <c r="I64" s="609"/>
      <c r="J64" s="609"/>
    </row>
    <row r="65" spans="1:10" s="3" customFormat="1">
      <c r="C65" s="449"/>
      <c r="D65" s="449"/>
      <c r="E65" s="490"/>
      <c r="F65" s="610"/>
      <c r="G65" s="610"/>
      <c r="H65" s="610"/>
      <c r="I65" s="610"/>
      <c r="J65" s="490" t="s">
        <v>1807</v>
      </c>
    </row>
    <row r="66" spans="1:10" s="3" customFormat="1">
      <c r="A66" s="3" t="s">
        <v>1795</v>
      </c>
      <c r="C66" s="449">
        <f>-C25</f>
        <v>-14000</v>
      </c>
      <c r="D66" s="449">
        <f>D25</f>
        <v>0</v>
      </c>
      <c r="E66" s="490">
        <f>C66-D66</f>
        <v>-14000</v>
      </c>
      <c r="F66" s="610"/>
      <c r="G66" s="610"/>
      <c r="H66" s="610"/>
      <c r="I66" s="610"/>
      <c r="J66" s="490">
        <f>-J53</f>
        <v>14000</v>
      </c>
    </row>
    <row r="67" spans="1:10" s="3" customFormat="1">
      <c r="A67" s="604"/>
      <c r="B67" s="604"/>
      <c r="C67" s="607"/>
      <c r="D67" s="607"/>
      <c r="E67" s="619"/>
      <c r="F67" s="609"/>
      <c r="G67" s="609"/>
      <c r="H67" s="619" t="s">
        <v>1598</v>
      </c>
      <c r="I67" s="609"/>
      <c r="J67" s="609"/>
    </row>
    <row r="68" spans="1:10" s="3" customFormat="1">
      <c r="A68" s="604" t="s">
        <v>1753</v>
      </c>
      <c r="B68" s="604"/>
      <c r="C68" s="607">
        <f>-(C26+C27)</f>
        <v>-185000</v>
      </c>
      <c r="D68" s="607">
        <f>-(D26+D27)</f>
        <v>-158000</v>
      </c>
      <c r="E68" s="619">
        <f>C68-D68</f>
        <v>-27000</v>
      </c>
      <c r="F68" s="609"/>
      <c r="G68" s="609"/>
      <c r="H68" s="619">
        <f>-E68</f>
        <v>27000</v>
      </c>
      <c r="I68" s="609"/>
      <c r="J68" s="609"/>
    </row>
    <row r="69" spans="1:10" s="3" customFormat="1">
      <c r="C69" s="449"/>
      <c r="D69" s="449"/>
      <c r="E69" s="490"/>
      <c r="F69" s="490" t="s">
        <v>467</v>
      </c>
      <c r="G69" s="610"/>
      <c r="H69" s="490" t="s">
        <v>1810</v>
      </c>
      <c r="I69" s="610"/>
      <c r="J69" s="610"/>
    </row>
    <row r="70" spans="1:10" s="3" customFormat="1">
      <c r="A70" s="3" t="s">
        <v>1501</v>
      </c>
      <c r="C70" s="449">
        <f>-C28</f>
        <v>-240000</v>
      </c>
      <c r="D70" s="449">
        <f>-D28</f>
        <v>-127000</v>
      </c>
      <c r="E70" s="490">
        <f>C70-D70</f>
        <v>-113000</v>
      </c>
      <c r="F70" s="490">
        <f>-E70-H70</f>
        <v>128000</v>
      </c>
      <c r="G70" s="610"/>
      <c r="H70" s="490">
        <f>-15000</f>
        <v>-15000</v>
      </c>
      <c r="I70" s="610"/>
      <c r="J70" s="610"/>
    </row>
    <row r="71" spans="1:10" s="3" customFormat="1">
      <c r="A71" s="3" t="s">
        <v>436</v>
      </c>
      <c r="C71" s="450">
        <f>SUM(C45:C70)</f>
        <v>0</v>
      </c>
      <c r="D71" s="450">
        <f>SUM(D45:D70)</f>
        <v>0</v>
      </c>
      <c r="E71" s="450">
        <f>SUM(E45:E70)</f>
        <v>0</v>
      </c>
      <c r="F71" s="450">
        <f>SUM(F45:F70)</f>
        <v>89000</v>
      </c>
      <c r="G71" s="450">
        <f>SUM(G45:G70)</f>
        <v>-79000</v>
      </c>
      <c r="H71" s="450">
        <f>SUM(H45:H70)</f>
        <v>16000</v>
      </c>
      <c r="I71" s="450">
        <f>SUM(I45:I70)</f>
        <v>26000</v>
      </c>
      <c r="J71" s="450">
        <f>SUM(J45:J70)</f>
        <v>0</v>
      </c>
    </row>
    <row r="72" spans="1:10" s="3" customFormat="1"/>
    <row r="73" spans="1:10" s="3" customFormat="1">
      <c r="A73" s="3" t="s">
        <v>1851</v>
      </c>
    </row>
    <row r="74" spans="1:10" s="3" customFormat="1">
      <c r="A74" s="3" t="s">
        <v>1852</v>
      </c>
    </row>
    <row r="75" spans="1:10" s="3" customFormat="1">
      <c r="A75" s="3" t="s">
        <v>1853</v>
      </c>
    </row>
    <row r="76" spans="1:10" s="3" customFormat="1">
      <c r="A76" s="3" t="s">
        <v>1854</v>
      </c>
    </row>
    <row r="77" spans="1:10" s="3" customFormat="1"/>
    <row r="78" spans="1:10" s="3" customFormat="1">
      <c r="A78" s="613" t="s">
        <v>1856</v>
      </c>
      <c r="F78" s="613" t="s">
        <v>1857</v>
      </c>
    </row>
    <row r="79" spans="1:10" s="3" customFormat="1">
      <c r="A79" s="3" t="s">
        <v>1862</v>
      </c>
      <c r="B79" s="3" t="s">
        <v>1860</v>
      </c>
      <c r="D79" s="490">
        <v>-90000</v>
      </c>
      <c r="F79" s="3" t="s">
        <v>1397</v>
      </c>
      <c r="G79" s="490">
        <v>37000</v>
      </c>
    </row>
    <row r="80" spans="1:10" s="3" customFormat="1">
      <c r="B80" s="3" t="s">
        <v>1813</v>
      </c>
      <c r="D80" s="490">
        <v>18000</v>
      </c>
      <c r="F80" s="3" t="s">
        <v>1815</v>
      </c>
      <c r="G80" s="490">
        <f>50000-18000</f>
        <v>32000</v>
      </c>
      <c r="I80" s="3" t="s">
        <v>1863</v>
      </c>
    </row>
    <row r="81" spans="1:8" s="3" customFormat="1">
      <c r="B81" s="3" t="s">
        <v>1814</v>
      </c>
      <c r="D81" s="629">
        <f>D82-D80-D79</f>
        <v>-8000</v>
      </c>
      <c r="F81" s="3" t="s">
        <v>1398</v>
      </c>
      <c r="G81" s="630">
        <v>5000</v>
      </c>
      <c r="H81" s="3" t="s">
        <v>1864</v>
      </c>
    </row>
    <row r="82" spans="1:8" s="3" customFormat="1">
      <c r="A82" s="3" t="s">
        <v>1862</v>
      </c>
      <c r="B82" s="3" t="s">
        <v>1861</v>
      </c>
      <c r="D82" s="491">
        <v>-80000</v>
      </c>
    </row>
    <row r="83" spans="1:8" s="3" customFormat="1">
      <c r="D83" s="447"/>
      <c r="F83" s="3" t="s">
        <v>1865</v>
      </c>
    </row>
    <row r="84" spans="1:8" s="3" customFormat="1">
      <c r="A84" s="613" t="s">
        <v>1855</v>
      </c>
      <c r="D84" s="447"/>
      <c r="F84" s="3" t="s">
        <v>1866</v>
      </c>
    </row>
    <row r="85" spans="1:8" s="3" customFormat="1">
      <c r="A85" s="3" t="s">
        <v>1862</v>
      </c>
      <c r="B85" s="3" t="s">
        <v>1858</v>
      </c>
      <c r="D85" s="490">
        <v>190000</v>
      </c>
      <c r="F85" s="3" t="s">
        <v>1867</v>
      </c>
    </row>
    <row r="86" spans="1:8" s="3" customFormat="1" ht="14" thickBot="1">
      <c r="B86" s="3" t="s">
        <v>1816</v>
      </c>
      <c r="D86" s="490">
        <f>-50000</f>
        <v>-50000</v>
      </c>
    </row>
    <row r="87" spans="1:8" s="3" customFormat="1">
      <c r="B87" s="3" t="s">
        <v>1817</v>
      </c>
      <c r="D87" s="629">
        <f>D88-D86-D85</f>
        <v>70000</v>
      </c>
      <c r="F87" s="631" t="s">
        <v>1868</v>
      </c>
      <c r="G87" s="632"/>
      <c r="H87" s="633"/>
    </row>
    <row r="88" spans="1:8" s="3" customFormat="1">
      <c r="A88" s="3" t="s">
        <v>1862</v>
      </c>
      <c r="B88" s="3" t="s">
        <v>1859</v>
      </c>
      <c r="D88" s="491">
        <f>C18</f>
        <v>210000</v>
      </c>
      <c r="F88" s="634" t="s">
        <v>1869</v>
      </c>
      <c r="G88" s="635"/>
      <c r="H88" s="636"/>
    </row>
    <row r="89" spans="1:8" s="3" customFormat="1" ht="14" thickBot="1">
      <c r="F89" s="637" t="s">
        <v>1870</v>
      </c>
      <c r="G89" s="638"/>
      <c r="H89" s="639"/>
    </row>
    <row r="90" spans="1:8" s="3" customFormat="1">
      <c r="A90" s="443" t="s">
        <v>1821</v>
      </c>
    </row>
    <row r="91" spans="1:8" s="3" customFormat="1"/>
    <row r="92" spans="1:8" s="3" customFormat="1">
      <c r="A92" s="443" t="s">
        <v>1773</v>
      </c>
    </row>
    <row r="93" spans="1:8" s="3" customFormat="1">
      <c r="A93" s="3" t="s">
        <v>467</v>
      </c>
      <c r="E93" s="447">
        <f>F70</f>
        <v>128000</v>
      </c>
    </row>
    <row r="94" spans="1:8" s="3" customFormat="1"/>
    <row r="95" spans="1:8" s="3" customFormat="1">
      <c r="A95" s="3" t="s">
        <v>1774</v>
      </c>
    </row>
    <row r="96" spans="1:8" s="3" customFormat="1"/>
    <row r="97" spans="1:5" s="3" customFormat="1">
      <c r="A97" s="613" t="s">
        <v>1775</v>
      </c>
    </row>
    <row r="98" spans="1:5" s="3" customFormat="1">
      <c r="B98" s="3" t="s">
        <v>587</v>
      </c>
      <c r="E98" s="447">
        <f>F55</f>
        <v>8000</v>
      </c>
    </row>
    <row r="99" spans="1:5" s="3" customFormat="1">
      <c r="B99" s="3" t="s">
        <v>1398</v>
      </c>
      <c r="E99" s="447">
        <f>F57</f>
        <v>-5000</v>
      </c>
    </row>
    <row r="100" spans="1:5" s="3" customFormat="1"/>
    <row r="101" spans="1:5" s="3" customFormat="1">
      <c r="A101" s="613" t="s">
        <v>1776</v>
      </c>
    </row>
    <row r="102" spans="1:5" s="3" customFormat="1">
      <c r="B102" s="3" t="s">
        <v>1811</v>
      </c>
      <c r="E102" s="447">
        <f>F47</f>
        <v>-24000</v>
      </c>
    </row>
    <row r="103" spans="1:5" s="3" customFormat="1">
      <c r="B103" s="3" t="s">
        <v>1760</v>
      </c>
      <c r="E103" s="447">
        <f>F49</f>
        <v>6000</v>
      </c>
    </row>
    <row r="104" spans="1:5" s="3" customFormat="1">
      <c r="B104" s="3" t="s">
        <v>1761</v>
      </c>
      <c r="E104" s="447">
        <f>F51</f>
        <v>-7000</v>
      </c>
    </row>
    <row r="105" spans="1:5" s="3" customFormat="1">
      <c r="B105" s="3" t="s">
        <v>1822</v>
      </c>
      <c r="E105" s="447">
        <f>F60</f>
        <v>-17000</v>
      </c>
    </row>
    <row r="106" spans="1:5" s="3" customFormat="1"/>
    <row r="107" spans="1:5" s="3" customFormat="1">
      <c r="A107" s="3" t="s">
        <v>1777</v>
      </c>
      <c r="E107" s="448">
        <f>SUM(E93:E105)</f>
        <v>89000</v>
      </c>
    </row>
    <row r="108" spans="1:5" s="3" customFormat="1"/>
    <row r="109" spans="1:5" s="3" customFormat="1">
      <c r="A109" s="443" t="s">
        <v>1778</v>
      </c>
    </row>
    <row r="110" spans="1:5" s="3" customFormat="1">
      <c r="A110" s="443" t="s">
        <v>1825</v>
      </c>
      <c r="E110" s="447">
        <f>G53</f>
        <v>-46000</v>
      </c>
    </row>
    <row r="111" spans="1:5" s="3" customFormat="1">
      <c r="A111" s="3" t="s">
        <v>1784</v>
      </c>
      <c r="E111" s="447">
        <f>G55</f>
        <v>-70000</v>
      </c>
    </row>
    <row r="112" spans="1:5" s="3" customFormat="1">
      <c r="A112" s="3" t="s">
        <v>1823</v>
      </c>
      <c r="E112" s="447">
        <f>G57</f>
        <v>37000</v>
      </c>
    </row>
    <row r="113" spans="1:5" s="3" customFormat="1">
      <c r="A113" s="3" t="s">
        <v>1785</v>
      </c>
      <c r="E113" s="448">
        <f>SUM(E110:E112)</f>
        <v>-79000</v>
      </c>
    </row>
    <row r="114" spans="1:5" s="3" customFormat="1"/>
    <row r="115" spans="1:5" s="3" customFormat="1">
      <c r="A115" s="443" t="s">
        <v>1779</v>
      </c>
    </row>
    <row r="116" spans="1:5" s="3" customFormat="1">
      <c r="A116" s="3" t="s">
        <v>1824</v>
      </c>
      <c r="E116" s="447">
        <f>H62</f>
        <v>-68000</v>
      </c>
    </row>
    <row r="117" spans="1:5" s="3" customFormat="1">
      <c r="A117" s="3" t="s">
        <v>1786</v>
      </c>
      <c r="E117" s="447">
        <f>H64</f>
        <v>72000</v>
      </c>
    </row>
    <row r="118" spans="1:5" s="3" customFormat="1">
      <c r="A118" s="3" t="s">
        <v>1598</v>
      </c>
      <c r="E118" s="447">
        <f>H68</f>
        <v>27000</v>
      </c>
    </row>
    <row r="119" spans="1:5" s="3" customFormat="1">
      <c r="A119" s="3" t="s">
        <v>1767</v>
      </c>
      <c r="E119" s="447">
        <f>H70</f>
        <v>-15000</v>
      </c>
    </row>
    <row r="120" spans="1:5" s="3" customFormat="1">
      <c r="A120" s="3" t="s">
        <v>1787</v>
      </c>
      <c r="E120" s="448">
        <f>SUM(E116:E119)</f>
        <v>16000</v>
      </c>
    </row>
    <row r="121" spans="1:5" s="3" customFormat="1"/>
    <row r="122" spans="1:5" s="3" customFormat="1"/>
    <row r="123" spans="1:5" s="3" customFormat="1"/>
    <row r="124" spans="1:5" s="3" customFormat="1">
      <c r="A124" s="443" t="s">
        <v>1780</v>
      </c>
      <c r="B124" s="443"/>
      <c r="C124" s="443"/>
      <c r="D124" s="443"/>
      <c r="E124" s="611">
        <f>E107+E113+E120</f>
        <v>26000</v>
      </c>
    </row>
    <row r="125" spans="1:5" s="3" customFormat="1">
      <c r="A125" s="443" t="s">
        <v>1781</v>
      </c>
      <c r="B125" s="443"/>
      <c r="C125" s="443"/>
      <c r="D125" s="443"/>
      <c r="E125" s="611">
        <f>D45</f>
        <v>72000</v>
      </c>
    </row>
    <row r="126" spans="1:5" s="3" customFormat="1">
      <c r="A126" s="443" t="s">
        <v>1782</v>
      </c>
      <c r="B126" s="443"/>
      <c r="C126" s="443"/>
      <c r="D126" s="443"/>
      <c r="E126" s="612">
        <f>E124+E125</f>
        <v>98000</v>
      </c>
    </row>
    <row r="127" spans="1:5" s="3" customFormat="1"/>
    <row r="128" spans="1:5" s="3" customFormat="1">
      <c r="A128" s="613" t="s">
        <v>1871</v>
      </c>
    </row>
    <row r="129" spans="1:1" s="3" customFormat="1">
      <c r="A129" s="3" t="s">
        <v>1872</v>
      </c>
    </row>
    <row r="130" spans="1:1" s="63" customFormat="1" ht="16"/>
  </sheetData>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F04204-4484-6B47-9665-675E17B91161}">
  <dimension ref="A1:L261"/>
  <sheetViews>
    <sheetView rightToLeft="1" zoomScaleNormal="100" workbookViewId="0">
      <selection activeCell="E226" sqref="E226"/>
    </sheetView>
  </sheetViews>
  <sheetFormatPr baseColWidth="10" defaultRowHeight="16"/>
  <cols>
    <col min="1" max="7" width="10.83203125" style="63"/>
    <col min="8" max="8" width="11.83203125" style="63" customWidth="1"/>
    <col min="9" max="11" width="10.83203125" style="63"/>
    <col min="12" max="12" width="12.5" style="63" customWidth="1"/>
    <col min="13" max="16384" width="10.83203125" style="63"/>
  </cols>
  <sheetData>
    <row r="1" spans="1:8">
      <c r="A1" s="495" t="s">
        <v>2138</v>
      </c>
      <c r="B1" s="504"/>
      <c r="C1" s="504"/>
      <c r="D1" s="504"/>
      <c r="E1" s="504"/>
      <c r="F1" s="504"/>
      <c r="G1" s="504"/>
      <c r="H1" s="504"/>
    </row>
    <row r="141" spans="1:8" ht="17" thickBot="1">
      <c r="H141"/>
    </row>
    <row r="142" spans="1:8" s="2" customFormat="1" ht="17" thickBot="1">
      <c r="A142" s="161" t="s">
        <v>1542</v>
      </c>
      <c r="B142" s="552"/>
      <c r="C142" s="552"/>
      <c r="D142" s="552"/>
      <c r="E142" s="552"/>
      <c r="F142" s="552"/>
      <c r="G142" s="552"/>
      <c r="H142" s="567"/>
    </row>
    <row r="143" spans="1:8" s="2" customFormat="1">
      <c r="H143"/>
    </row>
    <row r="144" spans="1:8" s="2" customFormat="1">
      <c r="A144" s="2" t="s">
        <v>1543</v>
      </c>
      <c r="H144"/>
    </row>
    <row r="145" spans="1:8" s="2" customFormat="1">
      <c r="H145"/>
    </row>
    <row r="146" spans="1:8" s="2" customFormat="1">
      <c r="D146" s="2" t="s">
        <v>1544</v>
      </c>
      <c r="E146" s="553">
        <v>45657</v>
      </c>
      <c r="F146" s="553">
        <v>45291</v>
      </c>
    </row>
    <row r="147" spans="1:8" s="2" customFormat="1">
      <c r="E147" s="90" t="s">
        <v>1545</v>
      </c>
      <c r="F147" s="90" t="s">
        <v>1545</v>
      </c>
    </row>
    <row r="148" spans="1:8" s="2" customFormat="1">
      <c r="A148" s="2" t="s">
        <v>131</v>
      </c>
    </row>
    <row r="149" spans="1:8" s="2" customFormat="1">
      <c r="A149" s="2" t="s">
        <v>66</v>
      </c>
      <c r="E149" s="469">
        <v>180</v>
      </c>
      <c r="F149" s="469">
        <v>100</v>
      </c>
    </row>
    <row r="150" spans="1:8" s="2" customFormat="1">
      <c r="A150" s="2" t="s">
        <v>1546</v>
      </c>
      <c r="D150" s="2">
        <v>1</v>
      </c>
      <c r="E150" s="469">
        <v>120</v>
      </c>
      <c r="F150" s="469">
        <v>70</v>
      </c>
    </row>
    <row r="151" spans="1:8" s="2" customFormat="1">
      <c r="A151" s="2" t="s">
        <v>493</v>
      </c>
      <c r="E151" s="469">
        <v>21</v>
      </c>
      <c r="F151" s="469">
        <v>26</v>
      </c>
    </row>
    <row r="152" spans="1:8" s="2" customFormat="1">
      <c r="A152" s="2" t="s">
        <v>557</v>
      </c>
      <c r="E152" s="469">
        <v>18</v>
      </c>
      <c r="F152" s="469">
        <v>23</v>
      </c>
    </row>
    <row r="153" spans="1:8" s="2" customFormat="1">
      <c r="A153" s="2" t="s">
        <v>1547</v>
      </c>
      <c r="D153" s="2">
        <v>2</v>
      </c>
      <c r="E153" s="469">
        <v>90</v>
      </c>
      <c r="F153" s="469">
        <v>40</v>
      </c>
    </row>
    <row r="154" spans="1:8" s="2" customFormat="1">
      <c r="A154" s="2" t="s">
        <v>1548</v>
      </c>
      <c r="D154" s="2">
        <v>2</v>
      </c>
      <c r="E154" s="469">
        <v>-15</v>
      </c>
      <c r="F154" s="469">
        <v>-10</v>
      </c>
    </row>
    <row r="155" spans="1:8" s="2" customFormat="1">
      <c r="A155" s="2" t="s">
        <v>1549</v>
      </c>
      <c r="D155" s="2">
        <v>3</v>
      </c>
      <c r="E155" s="469">
        <v>1500</v>
      </c>
      <c r="F155" s="469">
        <v>1400</v>
      </c>
    </row>
    <row r="156" spans="1:8" s="2" customFormat="1">
      <c r="A156" s="2" t="s">
        <v>83</v>
      </c>
      <c r="E156" s="554">
        <f>SUM(E149:E155)</f>
        <v>1914</v>
      </c>
      <c r="F156" s="554">
        <f>SUM(F149:F155)</f>
        <v>1649</v>
      </c>
    </row>
    <row r="157" spans="1:8" s="2" customFormat="1">
      <c r="E157" s="469"/>
      <c r="F157" s="469"/>
    </row>
    <row r="158" spans="1:8" s="2" customFormat="1">
      <c r="A158" s="2" t="s">
        <v>550</v>
      </c>
      <c r="E158" s="469"/>
      <c r="F158" s="469"/>
    </row>
    <row r="159" spans="1:8" s="2" customFormat="1">
      <c r="A159" s="2" t="s">
        <v>69</v>
      </c>
      <c r="E159" s="469">
        <v>80</v>
      </c>
      <c r="F159" s="469">
        <v>74</v>
      </c>
    </row>
    <row r="160" spans="1:8" s="2" customFormat="1">
      <c r="A160" s="2" t="s">
        <v>67</v>
      </c>
      <c r="D160" s="2">
        <v>4</v>
      </c>
      <c r="E160" s="469">
        <v>112</v>
      </c>
      <c r="F160" s="469">
        <v>100</v>
      </c>
    </row>
    <row r="161" spans="1:6" s="2" customFormat="1">
      <c r="A161" s="2" t="s">
        <v>75</v>
      </c>
      <c r="D161" s="2">
        <v>5</v>
      </c>
      <c r="E161" s="469">
        <v>80</v>
      </c>
      <c r="F161" s="469">
        <v>115</v>
      </c>
    </row>
    <row r="162" spans="1:6" s="2" customFormat="1">
      <c r="A162" s="2" t="s">
        <v>1550</v>
      </c>
      <c r="D162" s="2">
        <v>6</v>
      </c>
      <c r="E162" s="469">
        <v>115</v>
      </c>
      <c r="F162" s="469">
        <v>90</v>
      </c>
    </row>
    <row r="163" spans="1:6" s="2" customFormat="1">
      <c r="A163" s="2" t="s">
        <v>1551</v>
      </c>
      <c r="D163" s="2">
        <v>7</v>
      </c>
      <c r="E163" s="469">
        <v>80</v>
      </c>
      <c r="F163" s="469">
        <v>50</v>
      </c>
    </row>
    <row r="164" spans="1:6" s="2" customFormat="1">
      <c r="A164" s="2" t="s">
        <v>1552</v>
      </c>
      <c r="D164" s="2">
        <v>7</v>
      </c>
      <c r="E164" s="469">
        <v>90</v>
      </c>
      <c r="F164" s="469">
        <v>40</v>
      </c>
    </row>
    <row r="165" spans="1:6" s="2" customFormat="1">
      <c r="A165" s="2" t="s">
        <v>1553</v>
      </c>
      <c r="D165" s="2">
        <v>8</v>
      </c>
      <c r="E165" s="469">
        <f>E156-SUM(E159:E164)</f>
        <v>1357</v>
      </c>
      <c r="F165" s="469">
        <f>F156-SUM(F159:F164)</f>
        <v>1180</v>
      </c>
    </row>
    <row r="166" spans="1:6" s="2" customFormat="1">
      <c r="A166" s="2" t="s">
        <v>561</v>
      </c>
      <c r="E166" s="554">
        <f>SUM(E159:E165)</f>
        <v>1914</v>
      </c>
      <c r="F166" s="554">
        <f>SUM(F159:F165)</f>
        <v>1649</v>
      </c>
    </row>
    <row r="167" spans="1:6" s="2" customFormat="1"/>
    <row r="168" spans="1:6" s="2" customFormat="1">
      <c r="A168" s="2" t="s">
        <v>1554</v>
      </c>
    </row>
    <row r="169" spans="1:6" s="2" customFormat="1">
      <c r="A169" s="2">
        <v>1</v>
      </c>
      <c r="B169" s="2" t="s">
        <v>1555</v>
      </c>
    </row>
    <row r="170" spans="1:6" s="2" customFormat="1">
      <c r="B170" s="2" t="s">
        <v>1556</v>
      </c>
    </row>
    <row r="171" spans="1:6" s="2" customFormat="1">
      <c r="A171" s="2">
        <v>2</v>
      </c>
      <c r="B171" s="2" t="s">
        <v>1557</v>
      </c>
    </row>
    <row r="172" spans="1:6" s="2" customFormat="1">
      <c r="B172" s="2" t="s">
        <v>1558</v>
      </c>
    </row>
    <row r="173" spans="1:6" s="2" customFormat="1">
      <c r="B173" s="2" t="s">
        <v>1559</v>
      </c>
    </row>
    <row r="174" spans="1:6" s="2" customFormat="1">
      <c r="A174" s="2">
        <v>3</v>
      </c>
      <c r="B174" s="2" t="s">
        <v>1560</v>
      </c>
    </row>
    <row r="175" spans="1:6" s="2" customFormat="1">
      <c r="B175" s="2" t="s">
        <v>1561</v>
      </c>
    </row>
    <row r="176" spans="1:6" s="2" customFormat="1">
      <c r="A176" s="2">
        <v>4</v>
      </c>
      <c r="B176" s="2" t="s">
        <v>1562</v>
      </c>
    </row>
    <row r="177" spans="1:2" s="2" customFormat="1">
      <c r="B177" s="2" t="s">
        <v>1563</v>
      </c>
    </row>
    <row r="178" spans="1:2" s="2" customFormat="1">
      <c r="A178" s="2">
        <v>5</v>
      </c>
      <c r="B178" s="2" t="s">
        <v>1564</v>
      </c>
    </row>
    <row r="179" spans="1:2" s="2" customFormat="1">
      <c r="B179" s="2" t="s">
        <v>1565</v>
      </c>
    </row>
    <row r="180" spans="1:2" s="2" customFormat="1">
      <c r="A180" s="2">
        <v>6</v>
      </c>
      <c r="B180" s="2" t="s">
        <v>1566</v>
      </c>
    </row>
    <row r="181" spans="1:2" s="2" customFormat="1">
      <c r="B181" s="2" t="s">
        <v>1567</v>
      </c>
    </row>
    <row r="182" spans="1:2" s="2" customFormat="1">
      <c r="A182" s="2">
        <v>7</v>
      </c>
      <c r="B182" s="2" t="s">
        <v>1568</v>
      </c>
    </row>
    <row r="183" spans="1:2" s="2" customFormat="1">
      <c r="A183" s="2">
        <v>8</v>
      </c>
      <c r="B183" s="2" t="s">
        <v>1569</v>
      </c>
    </row>
    <row r="184" spans="1:2" s="2" customFormat="1">
      <c r="B184" s="2" t="s">
        <v>1570</v>
      </c>
    </row>
    <row r="185" spans="1:2" s="2" customFormat="1"/>
    <row r="186" spans="1:2" s="2" customFormat="1">
      <c r="A186" s="4" t="s">
        <v>1571</v>
      </c>
    </row>
    <row r="188" spans="1:2">
      <c r="A188" s="63" t="s">
        <v>1669</v>
      </c>
    </row>
    <row r="189" spans="1:2">
      <c r="A189" s="63" t="s">
        <v>1670</v>
      </c>
    </row>
    <row r="190" spans="1:2">
      <c r="A190" s="63" t="s">
        <v>1671</v>
      </c>
    </row>
    <row r="191" spans="1:2">
      <c r="A191" s="63" t="s">
        <v>1673</v>
      </c>
    </row>
    <row r="192" spans="1:2">
      <c r="A192" s="63" t="s">
        <v>1675</v>
      </c>
    </row>
    <row r="193" spans="1:12">
      <c r="A193" s="63" t="s">
        <v>1676</v>
      </c>
    </row>
    <row r="194" spans="1:12">
      <c r="A194" s="63" t="s">
        <v>1677</v>
      </c>
    </row>
    <row r="195" spans="1:12">
      <c r="A195" s="63" t="s">
        <v>1683</v>
      </c>
    </row>
    <row r="196" spans="1:12">
      <c r="A196" s="63" t="s">
        <v>1684</v>
      </c>
    </row>
    <row r="197" spans="1:12">
      <c r="A197" s="63" t="s">
        <v>1685</v>
      </c>
    </row>
    <row r="198" spans="1:12">
      <c r="A198" s="63" t="s">
        <v>1691</v>
      </c>
    </row>
    <row r="200" spans="1:12" ht="17" thickBot="1"/>
    <row r="201" spans="1:12" s="2" customFormat="1">
      <c r="D201" s="122"/>
      <c r="E201" s="586">
        <v>45657</v>
      </c>
      <c r="F201" s="586">
        <v>45291</v>
      </c>
      <c r="G201" s="580"/>
      <c r="H201" s="99"/>
      <c r="I201" s="99"/>
      <c r="J201" s="99"/>
      <c r="K201" s="99"/>
      <c r="L201" s="100"/>
    </row>
    <row r="202" spans="1:12" s="2" customFormat="1" ht="17" thickBot="1">
      <c r="D202" s="125" t="s">
        <v>1544</v>
      </c>
      <c r="E202" s="582" t="s">
        <v>1545</v>
      </c>
      <c r="F202" s="582" t="s">
        <v>1545</v>
      </c>
      <c r="G202" s="582" t="s">
        <v>1678</v>
      </c>
      <c r="H202" s="126" t="s">
        <v>1679</v>
      </c>
      <c r="I202" s="126" t="s">
        <v>1680</v>
      </c>
      <c r="J202" s="126" t="s">
        <v>1681</v>
      </c>
      <c r="K202" s="126" t="s">
        <v>66</v>
      </c>
      <c r="L202" s="127" t="s">
        <v>1682</v>
      </c>
    </row>
    <row r="203" spans="1:12" s="2" customFormat="1">
      <c r="A203" s="572"/>
      <c r="B203" s="573"/>
      <c r="C203" s="573"/>
      <c r="D203" s="573"/>
      <c r="E203" s="574"/>
      <c r="F203" s="574"/>
      <c r="G203" s="574"/>
      <c r="H203" s="573"/>
      <c r="I203" s="573"/>
      <c r="J203" s="573"/>
      <c r="K203" s="574" t="s">
        <v>1686</v>
      </c>
      <c r="L203" s="575"/>
    </row>
    <row r="204" spans="1:12" s="2" customFormat="1" ht="17" thickBot="1">
      <c r="A204" s="576" t="s">
        <v>66</v>
      </c>
      <c r="B204" s="577"/>
      <c r="C204" s="577"/>
      <c r="D204" s="577"/>
      <c r="E204" s="578">
        <v>180</v>
      </c>
      <c r="F204" s="578">
        <v>100</v>
      </c>
      <c r="G204" s="578">
        <f>E204-F204</f>
        <v>80</v>
      </c>
      <c r="H204" s="577"/>
      <c r="I204" s="577"/>
      <c r="J204" s="577"/>
      <c r="K204" s="578">
        <f>G204</f>
        <v>80</v>
      </c>
      <c r="L204" s="579"/>
    </row>
    <row r="205" spans="1:12" s="2" customFormat="1">
      <c r="A205" s="122"/>
      <c r="B205" s="99"/>
      <c r="C205" s="99"/>
      <c r="D205" s="99"/>
      <c r="E205" s="99"/>
      <c r="F205" s="99"/>
      <c r="G205" s="99"/>
      <c r="H205" s="580" t="s">
        <v>1712</v>
      </c>
      <c r="I205" s="99" t="s">
        <v>1690</v>
      </c>
      <c r="J205" s="99"/>
      <c r="K205" s="99"/>
      <c r="L205" s="100"/>
    </row>
    <row r="206" spans="1:12" s="2" customFormat="1" ht="17" thickBot="1">
      <c r="A206" s="125" t="s">
        <v>1546</v>
      </c>
      <c r="B206" s="126"/>
      <c r="C206" s="126"/>
      <c r="D206" s="126">
        <v>1</v>
      </c>
      <c r="E206" s="581">
        <v>120</v>
      </c>
      <c r="F206" s="581">
        <v>70</v>
      </c>
      <c r="G206" s="581">
        <f>E206-F206</f>
        <v>50</v>
      </c>
      <c r="H206" s="581">
        <v>-35</v>
      </c>
      <c r="I206" s="581">
        <v>-15</v>
      </c>
      <c r="J206" s="126"/>
      <c r="K206" s="582"/>
      <c r="L206" s="127"/>
    </row>
    <row r="207" spans="1:12" s="2" customFormat="1">
      <c r="A207" s="572"/>
      <c r="B207" s="573"/>
      <c r="C207" s="573"/>
      <c r="D207" s="573"/>
      <c r="E207" s="584"/>
      <c r="F207" s="584"/>
      <c r="G207" s="584"/>
      <c r="H207" s="573" t="s">
        <v>1687</v>
      </c>
      <c r="I207" s="573"/>
      <c r="J207" s="573"/>
      <c r="K207" s="574"/>
      <c r="L207" s="575"/>
    </row>
    <row r="208" spans="1:12" s="2" customFormat="1" ht="17" thickBot="1">
      <c r="A208" s="576" t="s">
        <v>493</v>
      </c>
      <c r="B208" s="577"/>
      <c r="C208" s="577"/>
      <c r="D208" s="577"/>
      <c r="E208" s="578">
        <v>21</v>
      </c>
      <c r="F208" s="578">
        <v>26</v>
      </c>
      <c r="G208" s="578">
        <f>E208-F208</f>
        <v>-5</v>
      </c>
      <c r="H208" s="578">
        <f>-G208</f>
        <v>5</v>
      </c>
      <c r="I208" s="577"/>
      <c r="J208" s="577"/>
      <c r="K208" s="585"/>
      <c r="L208" s="579"/>
    </row>
    <row r="209" spans="1:12" s="2" customFormat="1">
      <c r="A209" s="122"/>
      <c r="B209" s="99"/>
      <c r="C209" s="99"/>
      <c r="D209" s="99"/>
      <c r="E209" s="583"/>
      <c r="F209" s="583"/>
      <c r="G209" s="583"/>
      <c r="H209" s="583" t="s">
        <v>1688</v>
      </c>
      <c r="I209" s="99"/>
      <c r="J209" s="99"/>
      <c r="K209" s="580"/>
      <c r="L209" s="100"/>
    </row>
    <row r="210" spans="1:12" s="2" customFormat="1" ht="17" thickBot="1">
      <c r="A210" s="125" t="s">
        <v>557</v>
      </c>
      <c r="B210" s="126"/>
      <c r="C210" s="126"/>
      <c r="D210" s="126"/>
      <c r="E210" s="581">
        <v>18</v>
      </c>
      <c r="F210" s="581">
        <v>23</v>
      </c>
      <c r="G210" s="581">
        <f>E210-F210</f>
        <v>-5</v>
      </c>
      <c r="H210" s="581">
        <f>-G210</f>
        <v>5</v>
      </c>
      <c r="I210" s="126"/>
      <c r="J210" s="126"/>
      <c r="K210" s="582"/>
      <c r="L210" s="127"/>
    </row>
    <row r="211" spans="1:12" s="2" customFormat="1">
      <c r="A211" s="572"/>
      <c r="B211" s="573"/>
      <c r="C211" s="573"/>
      <c r="D211" s="573"/>
      <c r="E211" s="584"/>
      <c r="F211" s="584"/>
      <c r="G211" s="584"/>
      <c r="H211" s="584" t="s">
        <v>587</v>
      </c>
      <c r="I211" s="573" t="s">
        <v>1728</v>
      </c>
      <c r="J211" s="573"/>
      <c r="K211" s="574"/>
      <c r="L211" s="575"/>
    </row>
    <row r="212" spans="1:12" s="2" customFormat="1" ht="17" thickBot="1">
      <c r="A212" s="576" t="s">
        <v>1672</v>
      </c>
      <c r="B212" s="577"/>
      <c r="C212" s="577"/>
      <c r="D212" s="577">
        <v>2</v>
      </c>
      <c r="E212" s="588">
        <f>90-15</f>
        <v>75</v>
      </c>
      <c r="F212" s="588">
        <f>40-10</f>
        <v>30</v>
      </c>
      <c r="G212" s="578">
        <f>E212-F212</f>
        <v>45</v>
      </c>
      <c r="H212" s="578">
        <f>J253</f>
        <v>5</v>
      </c>
      <c r="I212" s="578">
        <f>K252</f>
        <v>-50</v>
      </c>
      <c r="J212" s="577"/>
      <c r="K212" s="585"/>
      <c r="L212" s="579"/>
    </row>
    <row r="213" spans="1:12" s="2" customFormat="1">
      <c r="E213" s="568"/>
      <c r="F213" s="568"/>
      <c r="G213" s="469"/>
      <c r="H213" s="34"/>
      <c r="K213" s="34"/>
    </row>
    <row r="214" spans="1:12" s="2" customFormat="1">
      <c r="A214" s="2" t="s">
        <v>1549</v>
      </c>
      <c r="D214" s="2">
        <v>3</v>
      </c>
      <c r="E214" s="469">
        <v>1500</v>
      </c>
      <c r="F214" s="469">
        <v>1400</v>
      </c>
      <c r="G214" s="469">
        <f>E214-F214</f>
        <v>100</v>
      </c>
      <c r="H214" s="34"/>
      <c r="K214" s="34"/>
    </row>
    <row r="215" spans="1:12" s="2" customFormat="1">
      <c r="E215" s="469"/>
      <c r="F215" s="469"/>
      <c r="G215" s="469"/>
      <c r="H215" s="34" t="s">
        <v>1689</v>
      </c>
      <c r="K215" s="34"/>
    </row>
    <row r="216" spans="1:12" s="2" customFormat="1">
      <c r="A216" s="2" t="s">
        <v>69</v>
      </c>
      <c r="E216" s="469">
        <v>-80</v>
      </c>
      <c r="F216" s="469">
        <v>-74</v>
      </c>
      <c r="G216" s="469">
        <f t="shared" ref="G216:G222" si="0">E216-F216</f>
        <v>-6</v>
      </c>
      <c r="H216" s="469">
        <f>-G216</f>
        <v>6</v>
      </c>
      <c r="K216" s="34"/>
    </row>
    <row r="217" spans="1:12" s="2" customFormat="1">
      <c r="A217" s="2" t="s">
        <v>67</v>
      </c>
      <c r="D217" s="2">
        <v>4</v>
      </c>
      <c r="E217" s="469">
        <v>-112</v>
      </c>
      <c r="F217" s="469">
        <v>-100</v>
      </c>
      <c r="G217" s="469">
        <f t="shared" si="0"/>
        <v>-12</v>
      </c>
      <c r="K217" s="34"/>
    </row>
    <row r="218" spans="1:12" s="2" customFormat="1">
      <c r="A218" s="2" t="s">
        <v>75</v>
      </c>
      <c r="D218" s="2">
        <v>5</v>
      </c>
      <c r="E218" s="469">
        <v>-80</v>
      </c>
      <c r="F218" s="469">
        <v>-115</v>
      </c>
      <c r="G218" s="469">
        <f t="shared" si="0"/>
        <v>35</v>
      </c>
      <c r="K218" s="34"/>
    </row>
    <row r="219" spans="1:12" s="2" customFormat="1">
      <c r="A219" s="2" t="s">
        <v>1550</v>
      </c>
      <c r="D219" s="2">
        <v>6</v>
      </c>
      <c r="E219" s="469">
        <v>-115</v>
      </c>
      <c r="F219" s="469">
        <v>-90</v>
      </c>
      <c r="G219" s="469">
        <f t="shared" si="0"/>
        <v>-25</v>
      </c>
      <c r="K219" s="34"/>
    </row>
    <row r="220" spans="1:12" s="2" customFormat="1">
      <c r="A220" s="2" t="s">
        <v>1674</v>
      </c>
      <c r="D220" s="2">
        <v>7</v>
      </c>
      <c r="E220" s="568">
        <f>-(80+90)</f>
        <v>-170</v>
      </c>
      <c r="F220" s="568">
        <f>-(50+40)</f>
        <v>-90</v>
      </c>
      <c r="G220" s="469">
        <f t="shared" si="0"/>
        <v>-80</v>
      </c>
      <c r="K220" s="34"/>
    </row>
    <row r="221" spans="1:12" s="2" customFormat="1">
      <c r="A221" s="2" t="s">
        <v>1553</v>
      </c>
      <c r="D221" s="2">
        <v>8</v>
      </c>
      <c r="E221" s="469">
        <v>-1357</v>
      </c>
      <c r="F221" s="469">
        <v>-1180</v>
      </c>
      <c r="G221" s="469">
        <f t="shared" si="0"/>
        <v>-177</v>
      </c>
      <c r="K221" s="34"/>
    </row>
    <row r="222" spans="1:12">
      <c r="A222" s="63" t="s">
        <v>436</v>
      </c>
      <c r="E222" s="512">
        <f>SUM(E204:E221)</f>
        <v>0</v>
      </c>
      <c r="F222" s="512">
        <f>SUM(F204:F221)</f>
        <v>0</v>
      </c>
      <c r="G222" s="512">
        <f t="shared" si="0"/>
        <v>0</v>
      </c>
      <c r="K222" s="505"/>
    </row>
    <row r="226" spans="1:11">
      <c r="A226" s="63" t="s">
        <v>1692</v>
      </c>
    </row>
    <row r="228" spans="1:11">
      <c r="A228" s="5" t="s">
        <v>1693</v>
      </c>
    </row>
    <row r="229" spans="1:11">
      <c r="A229" s="63" t="s">
        <v>1694</v>
      </c>
    </row>
    <row r="230" spans="1:11">
      <c r="A230" s="63" t="s">
        <v>1695</v>
      </c>
    </row>
    <row r="231" spans="1:11">
      <c r="A231" s="63" t="s">
        <v>1696</v>
      </c>
    </row>
    <row r="232" spans="1:11">
      <c r="A232" s="63" t="s">
        <v>1697</v>
      </c>
    </row>
    <row r="233" spans="1:11">
      <c r="A233" s="63" t="s">
        <v>1698</v>
      </c>
    </row>
    <row r="235" spans="1:11">
      <c r="A235" s="5" t="s">
        <v>1699</v>
      </c>
    </row>
    <row r="236" spans="1:11">
      <c r="C236" s="505" t="s">
        <v>1705</v>
      </c>
      <c r="D236" s="721" t="s">
        <v>1708</v>
      </c>
      <c r="E236" s="721"/>
      <c r="I236" s="505" t="s">
        <v>1705</v>
      </c>
      <c r="J236" s="721" t="s">
        <v>1708</v>
      </c>
      <c r="K236" s="721"/>
    </row>
    <row r="237" spans="1:11">
      <c r="A237" s="63" t="s">
        <v>1701</v>
      </c>
      <c r="C237" s="505" t="s">
        <v>1707</v>
      </c>
      <c r="D237" s="505" t="s">
        <v>1709</v>
      </c>
      <c r="E237" s="505" t="s">
        <v>1680</v>
      </c>
      <c r="G237" s="63" t="s">
        <v>1710</v>
      </c>
      <c r="I237" s="505" t="s">
        <v>1707</v>
      </c>
      <c r="J237" s="505" t="s">
        <v>1709</v>
      </c>
      <c r="K237" s="505" t="s">
        <v>1680</v>
      </c>
    </row>
    <row r="238" spans="1:11">
      <c r="A238" s="63" t="s">
        <v>1700</v>
      </c>
      <c r="C238" s="505" t="s">
        <v>88</v>
      </c>
      <c r="D238" s="569"/>
      <c r="E238" s="569"/>
      <c r="G238" s="63" t="s">
        <v>1700</v>
      </c>
      <c r="I238" s="506">
        <f>F206</f>
        <v>70</v>
      </c>
      <c r="J238" s="569"/>
      <c r="K238" s="569"/>
    </row>
    <row r="239" spans="1:11">
      <c r="A239" s="63" t="s">
        <v>1702</v>
      </c>
      <c r="C239" s="505" t="s">
        <v>88</v>
      </c>
      <c r="D239" s="505"/>
      <c r="E239" s="505" t="s">
        <v>89</v>
      </c>
      <c r="G239" s="63" t="s">
        <v>1702</v>
      </c>
      <c r="I239" s="505">
        <v>15</v>
      </c>
      <c r="J239" s="505"/>
      <c r="K239" s="506">
        <f>I206</f>
        <v>-15</v>
      </c>
    </row>
    <row r="240" spans="1:11">
      <c r="A240" s="63" t="s">
        <v>1703</v>
      </c>
      <c r="C240" s="505" t="s">
        <v>88</v>
      </c>
      <c r="D240" s="505" t="s">
        <v>89</v>
      </c>
      <c r="E240" s="505"/>
      <c r="G240" s="63" t="s">
        <v>1711</v>
      </c>
      <c r="I240" s="571">
        <f>I242-I239-I238</f>
        <v>35</v>
      </c>
      <c r="J240" s="506">
        <f>-I240</f>
        <v>-35</v>
      </c>
      <c r="K240" s="505"/>
    </row>
    <row r="241" spans="1:11">
      <c r="A241" s="63" t="s">
        <v>1704</v>
      </c>
      <c r="C241" s="505" t="s">
        <v>89</v>
      </c>
      <c r="D241" s="505" t="s">
        <v>88</v>
      </c>
      <c r="G241" s="63" t="s">
        <v>1704</v>
      </c>
      <c r="I241" s="505">
        <v>0</v>
      </c>
      <c r="J241" s="505">
        <v>0</v>
      </c>
    </row>
    <row r="242" spans="1:11">
      <c r="A242" s="63" t="s">
        <v>1706</v>
      </c>
      <c r="C242" s="505" t="s">
        <v>91</v>
      </c>
      <c r="D242" s="570"/>
      <c r="E242" s="570"/>
      <c r="G242" s="63" t="s">
        <v>1706</v>
      </c>
      <c r="I242" s="506">
        <f>E206</f>
        <v>120</v>
      </c>
      <c r="J242" s="570"/>
      <c r="K242" s="570"/>
    </row>
    <row r="244" spans="1:11">
      <c r="A244" s="5" t="s">
        <v>1713</v>
      </c>
    </row>
    <row r="245" spans="1:11">
      <c r="A245" s="63" t="s">
        <v>1714</v>
      </c>
    </row>
    <row r="246" spans="1:11">
      <c r="A246" s="63" t="s">
        <v>1715</v>
      </c>
    </row>
    <row r="247" spans="1:11">
      <c r="A247" s="63" t="s">
        <v>1726</v>
      </c>
    </row>
    <row r="249" spans="1:11">
      <c r="C249" s="505" t="s">
        <v>1705</v>
      </c>
      <c r="D249" s="721" t="s">
        <v>1708</v>
      </c>
      <c r="E249" s="721"/>
      <c r="I249" s="505" t="s">
        <v>1705</v>
      </c>
      <c r="J249" s="721" t="s">
        <v>1708</v>
      </c>
      <c r="K249" s="721"/>
    </row>
    <row r="250" spans="1:11">
      <c r="A250" s="63" t="s">
        <v>1701</v>
      </c>
      <c r="C250" s="505" t="s">
        <v>1707</v>
      </c>
      <c r="D250" s="505" t="s">
        <v>1709</v>
      </c>
      <c r="E250" s="505" t="s">
        <v>1680</v>
      </c>
      <c r="G250" s="63" t="s">
        <v>1701</v>
      </c>
      <c r="I250" s="505" t="s">
        <v>1707</v>
      </c>
      <c r="J250" s="505" t="s">
        <v>1709</v>
      </c>
      <c r="K250" s="505" t="s">
        <v>1680</v>
      </c>
    </row>
    <row r="251" spans="1:11">
      <c r="A251" s="63" t="s">
        <v>1700</v>
      </c>
      <c r="C251" s="505" t="s">
        <v>88</v>
      </c>
      <c r="D251" s="569"/>
      <c r="E251" s="569"/>
      <c r="G251" s="63" t="s">
        <v>1700</v>
      </c>
      <c r="I251" s="505">
        <v>30</v>
      </c>
      <c r="J251" s="569"/>
      <c r="K251" s="569"/>
    </row>
    <row r="252" spans="1:11">
      <c r="A252" s="63" t="s">
        <v>1716</v>
      </c>
      <c r="C252" s="505" t="s">
        <v>88</v>
      </c>
      <c r="D252" s="505"/>
      <c r="E252" s="505" t="s">
        <v>89</v>
      </c>
      <c r="G252" s="63" t="s">
        <v>1716</v>
      </c>
      <c r="I252" s="587">
        <f>C260</f>
        <v>50</v>
      </c>
      <c r="J252" s="505"/>
      <c r="K252" s="571">
        <f>-I252</f>
        <v>-50</v>
      </c>
    </row>
    <row r="253" spans="1:11">
      <c r="A253" s="63" t="s">
        <v>1717</v>
      </c>
      <c r="C253" s="505" t="s">
        <v>89</v>
      </c>
      <c r="D253" s="505" t="s">
        <v>88</v>
      </c>
      <c r="G253" s="63" t="s">
        <v>1717</v>
      </c>
      <c r="I253" s="571">
        <f>-H260</f>
        <v>-5</v>
      </c>
      <c r="J253" s="571">
        <f>-I253</f>
        <v>5</v>
      </c>
    </row>
    <row r="254" spans="1:11">
      <c r="A254" s="63" t="s">
        <v>1706</v>
      </c>
      <c r="C254" s="505" t="s">
        <v>91</v>
      </c>
      <c r="D254" s="570"/>
      <c r="E254" s="570"/>
      <c r="G254" s="63" t="s">
        <v>1706</v>
      </c>
      <c r="I254" s="505">
        <v>75</v>
      </c>
      <c r="J254" s="570"/>
      <c r="K254" s="570"/>
    </row>
    <row r="256" spans="1:11">
      <c r="A256" s="63" t="s">
        <v>1718</v>
      </c>
    </row>
    <row r="258" spans="1:8">
      <c r="A258" s="532" t="s">
        <v>1719</v>
      </c>
      <c r="B258" s="532"/>
      <c r="F258" s="532" t="s">
        <v>1722</v>
      </c>
    </row>
    <row r="259" spans="1:8">
      <c r="A259" s="63" t="s">
        <v>1720</v>
      </c>
      <c r="C259" s="63">
        <v>40</v>
      </c>
      <c r="F259" s="63" t="s">
        <v>1723</v>
      </c>
      <c r="H259" s="63">
        <v>10</v>
      </c>
    </row>
    <row r="260" spans="1:8">
      <c r="A260" s="63" t="s">
        <v>1727</v>
      </c>
      <c r="C260" s="504">
        <f>C261-C259</f>
        <v>50</v>
      </c>
      <c r="F260" s="63" t="s">
        <v>1724</v>
      </c>
      <c r="H260" s="504">
        <f>H261-H259</f>
        <v>5</v>
      </c>
    </row>
    <row r="261" spans="1:8">
      <c r="A261" s="63" t="s">
        <v>1721</v>
      </c>
      <c r="C261" s="63">
        <v>90</v>
      </c>
      <c r="F261" s="63" t="s">
        <v>1725</v>
      </c>
      <c r="H261" s="63">
        <v>15</v>
      </c>
    </row>
  </sheetData>
  <mergeCells count="4">
    <mergeCell ref="D236:E236"/>
    <mergeCell ref="J236:K236"/>
    <mergeCell ref="D249:E249"/>
    <mergeCell ref="J249:K249"/>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0DDB1-7DAE-2847-BD6B-E5387CD4495F}">
  <dimension ref="A1:J260"/>
  <sheetViews>
    <sheetView rightToLeft="1" zoomScale="130" zoomScaleNormal="130" workbookViewId="0">
      <selection activeCell="A13" sqref="A13:XFD244"/>
    </sheetView>
  </sheetViews>
  <sheetFormatPr baseColWidth="10" defaultRowHeight="13"/>
  <cols>
    <col min="1" max="1" width="10.83203125" style="3"/>
    <col min="2" max="2" width="12" style="3" customWidth="1"/>
    <col min="3" max="16384" width="10.83203125" style="3"/>
  </cols>
  <sheetData>
    <row r="1" spans="1:8">
      <c r="A1" s="465" t="s">
        <v>1729</v>
      </c>
      <c r="B1" s="589"/>
      <c r="C1" s="589"/>
      <c r="D1" s="589"/>
      <c r="E1" s="589"/>
      <c r="F1" s="589"/>
      <c r="G1" s="589"/>
      <c r="H1" s="589" t="s">
        <v>1844</v>
      </c>
    </row>
    <row r="2" spans="1:8" ht="14" thickBot="1"/>
    <row r="3" spans="1:8">
      <c r="A3" s="590" t="s">
        <v>942</v>
      </c>
      <c r="B3" s="591"/>
      <c r="C3" s="591"/>
      <c r="D3" s="591"/>
      <c r="E3" s="591"/>
      <c r="F3" s="591"/>
      <c r="G3" s="591"/>
      <c r="H3" s="454"/>
    </row>
    <row r="4" spans="1:8">
      <c r="A4" s="455" t="s">
        <v>1730</v>
      </c>
      <c r="H4" s="592"/>
    </row>
    <row r="5" spans="1:8">
      <c r="A5" s="455" t="s">
        <v>1731</v>
      </c>
      <c r="H5" s="592"/>
    </row>
    <row r="6" spans="1:8">
      <c r="A6" s="455" t="s">
        <v>1733</v>
      </c>
      <c r="H6" s="592"/>
    </row>
    <row r="7" spans="1:8">
      <c r="A7" s="455" t="s">
        <v>1732</v>
      </c>
      <c r="H7" s="592"/>
    </row>
    <row r="8" spans="1:8">
      <c r="A8" s="455" t="s">
        <v>1734</v>
      </c>
      <c r="H8" s="592"/>
    </row>
    <row r="9" spans="1:8">
      <c r="A9" s="455" t="s">
        <v>1735</v>
      </c>
      <c r="H9" s="592"/>
    </row>
    <row r="10" spans="1:8">
      <c r="A10" s="455" t="s">
        <v>1736</v>
      </c>
      <c r="H10" s="592"/>
    </row>
    <row r="11" spans="1:8" ht="14" thickBot="1">
      <c r="A11" s="458" t="s">
        <v>1737</v>
      </c>
      <c r="B11" s="459"/>
      <c r="C11" s="459"/>
      <c r="D11" s="459"/>
      <c r="E11" s="459"/>
      <c r="F11" s="459"/>
      <c r="G11" s="459"/>
      <c r="H11" s="593"/>
    </row>
    <row r="13" spans="1:8">
      <c r="A13" s="598" t="s">
        <v>1738</v>
      </c>
      <c r="B13" s="598"/>
      <c r="C13" s="598"/>
      <c r="D13" s="598"/>
      <c r="E13" s="598"/>
      <c r="F13" s="598"/>
      <c r="G13" s="598"/>
      <c r="H13" s="598"/>
    </row>
    <row r="14" spans="1:8">
      <c r="A14" s="3" t="s">
        <v>1742</v>
      </c>
    </row>
    <row r="16" spans="1:8">
      <c r="C16" s="594">
        <v>44561</v>
      </c>
      <c r="D16" s="594">
        <v>44196</v>
      </c>
    </row>
    <row r="17" spans="1:4">
      <c r="C17" s="595" t="s">
        <v>644</v>
      </c>
      <c r="D17" s="595" t="s">
        <v>644</v>
      </c>
    </row>
    <row r="18" spans="1:4">
      <c r="A18" s="443" t="s">
        <v>131</v>
      </c>
      <c r="C18" s="596"/>
      <c r="D18" s="596"/>
    </row>
    <row r="19" spans="1:4">
      <c r="A19" s="3" t="s">
        <v>1739</v>
      </c>
      <c r="C19" s="449">
        <v>40000</v>
      </c>
      <c r="D19" s="449">
        <v>13000</v>
      </c>
    </row>
    <row r="20" spans="1:4">
      <c r="A20" s="3" t="s">
        <v>845</v>
      </c>
      <c r="C20" s="449">
        <v>12000</v>
      </c>
      <c r="D20" s="449">
        <v>14000</v>
      </c>
    </row>
    <row r="21" spans="1:4">
      <c r="A21" s="3" t="s">
        <v>931</v>
      </c>
      <c r="C21" s="449">
        <v>27000</v>
      </c>
      <c r="D21" s="449">
        <v>51000</v>
      </c>
    </row>
    <row r="22" spans="1:4">
      <c r="A22" s="3" t="s">
        <v>557</v>
      </c>
      <c r="C22" s="449">
        <v>47000</v>
      </c>
      <c r="D22" s="449">
        <v>42000</v>
      </c>
    </row>
    <row r="23" spans="1:4">
      <c r="A23" s="3" t="s">
        <v>1547</v>
      </c>
      <c r="C23" s="449">
        <v>120000</v>
      </c>
      <c r="D23" s="449">
        <v>70000</v>
      </c>
    </row>
    <row r="24" spans="1:4">
      <c r="A24" s="3" t="s">
        <v>1548</v>
      </c>
      <c r="C24" s="449">
        <v>-45000</v>
      </c>
      <c r="D24" s="449">
        <v>-30000</v>
      </c>
    </row>
    <row r="25" spans="1:4" ht="14" thickBot="1">
      <c r="C25" s="597">
        <f>SUM(C19:C24)</f>
        <v>201000</v>
      </c>
      <c r="D25" s="597">
        <f>SUM(D19:D24)</f>
        <v>160000</v>
      </c>
    </row>
    <row r="26" spans="1:4" ht="14" thickTop="1">
      <c r="C26" s="449"/>
      <c r="D26" s="449"/>
    </row>
    <row r="27" spans="1:4">
      <c r="A27" s="443" t="s">
        <v>550</v>
      </c>
      <c r="C27" s="449"/>
      <c r="D27" s="449"/>
    </row>
    <row r="28" spans="1:4">
      <c r="A28" s="3" t="s">
        <v>1740</v>
      </c>
      <c r="C28" s="449">
        <v>29000</v>
      </c>
      <c r="D28" s="449">
        <v>20000</v>
      </c>
    </row>
    <row r="29" spans="1:4">
      <c r="A29" s="3" t="s">
        <v>75</v>
      </c>
      <c r="C29" s="449">
        <v>82000</v>
      </c>
      <c r="D29" s="449">
        <v>71000</v>
      </c>
    </row>
    <row r="30" spans="1:4">
      <c r="A30" s="3" t="s">
        <v>1551</v>
      </c>
      <c r="C30" s="449">
        <v>36000</v>
      </c>
      <c r="D30" s="449">
        <v>30000</v>
      </c>
    </row>
    <row r="31" spans="1:4">
      <c r="A31" s="3" t="s">
        <v>1741</v>
      </c>
      <c r="C31" s="449">
        <v>40000</v>
      </c>
      <c r="D31" s="449">
        <v>35000</v>
      </c>
    </row>
    <row r="32" spans="1:4">
      <c r="A32" s="3" t="s">
        <v>1501</v>
      </c>
      <c r="C32" s="449">
        <f>C25-C28-C29-C30-C31</f>
        <v>14000</v>
      </c>
      <c r="D32" s="449">
        <f>D25-D28-D29-D30-D31</f>
        <v>4000</v>
      </c>
    </row>
    <row r="33" spans="1:8" ht="14" thickBot="1">
      <c r="C33" s="597">
        <f>SUM(C28:C32)</f>
        <v>201000</v>
      </c>
      <c r="D33" s="597">
        <f>SUM(D28:D32)</f>
        <v>160000</v>
      </c>
    </row>
    <row r="34" spans="1:8" ht="14" thickTop="1"/>
    <row r="35" spans="1:8">
      <c r="A35" s="3" t="s">
        <v>1743</v>
      </c>
    </row>
    <row r="36" spans="1:8">
      <c r="A36" s="3" t="s">
        <v>1744</v>
      </c>
    </row>
    <row r="37" spans="1:8">
      <c r="A37" s="3" t="s">
        <v>1745</v>
      </c>
    </row>
    <row r="38" spans="1:8">
      <c r="A38" s="3" t="s">
        <v>1746</v>
      </c>
    </row>
    <row r="39" spans="1:8">
      <c r="A39" s="3" t="s">
        <v>1790</v>
      </c>
    </row>
    <row r="41" spans="1:8">
      <c r="A41" s="3" t="s">
        <v>1747</v>
      </c>
    </row>
    <row r="43" spans="1:8">
      <c r="A43" s="598" t="s">
        <v>1748</v>
      </c>
      <c r="B43" s="598"/>
      <c r="C43" s="598"/>
      <c r="D43" s="598"/>
      <c r="E43" s="598"/>
      <c r="F43" s="598"/>
      <c r="G43" s="598"/>
      <c r="H43" s="598"/>
    </row>
    <row r="45" spans="1:8">
      <c r="A45" s="3" t="s">
        <v>1845</v>
      </c>
    </row>
    <row r="46" spans="1:8">
      <c r="A46" s="3" t="s">
        <v>1756</v>
      </c>
    </row>
    <row r="47" spans="1:8">
      <c r="A47" s="3" t="s">
        <v>1750</v>
      </c>
    </row>
    <row r="48" spans="1:8">
      <c r="A48" s="3" t="s">
        <v>1749</v>
      </c>
    </row>
    <row r="49" spans="1:10">
      <c r="A49" s="3" t="s">
        <v>1752</v>
      </c>
    </row>
    <row r="50" spans="1:10">
      <c r="A50" s="3" t="s">
        <v>1846</v>
      </c>
    </row>
    <row r="52" spans="1:10">
      <c r="A52" s="3" t="s">
        <v>1757</v>
      </c>
    </row>
    <row r="53" spans="1:10">
      <c r="A53" s="3" t="s">
        <v>1758</v>
      </c>
    </row>
    <row r="54" spans="1:10">
      <c r="A54" s="3" t="s">
        <v>1759</v>
      </c>
    </row>
    <row r="55" spans="1:10">
      <c r="A55" s="3" t="s">
        <v>1847</v>
      </c>
    </row>
    <row r="56" spans="1:10">
      <c r="A56" s="3" t="s">
        <v>1769</v>
      </c>
    </row>
    <row r="57" spans="1:10">
      <c r="A57" s="3" t="s">
        <v>1765</v>
      </c>
    </row>
    <row r="58" spans="1:10">
      <c r="A58" s="3" t="s">
        <v>1766</v>
      </c>
    </row>
    <row r="59" spans="1:10">
      <c r="A59" s="3" t="s">
        <v>1764</v>
      </c>
    </row>
    <row r="60" spans="1:10">
      <c r="A60" s="3" t="s">
        <v>1768</v>
      </c>
    </row>
    <row r="61" spans="1:10">
      <c r="A61" s="3" t="s">
        <v>1762</v>
      </c>
    </row>
    <row r="63" spans="1:10">
      <c r="A63" s="443" t="s">
        <v>1751</v>
      </c>
      <c r="C63" s="600">
        <v>44561</v>
      </c>
      <c r="D63" s="600">
        <v>44196</v>
      </c>
      <c r="E63" s="602" t="s">
        <v>1678</v>
      </c>
      <c r="F63" s="602" t="s">
        <v>1679</v>
      </c>
      <c r="G63" s="602" t="s">
        <v>1680</v>
      </c>
      <c r="H63" s="602" t="s">
        <v>1681</v>
      </c>
      <c r="I63" s="602" t="s">
        <v>66</v>
      </c>
      <c r="J63" s="602" t="s">
        <v>1755</v>
      </c>
    </row>
    <row r="64" spans="1:10">
      <c r="A64" s="603"/>
      <c r="B64" s="604"/>
      <c r="C64" s="605"/>
      <c r="D64" s="605"/>
      <c r="E64" s="606"/>
      <c r="F64" s="606"/>
      <c r="G64" s="606"/>
      <c r="H64" s="606"/>
      <c r="I64" s="618" t="s">
        <v>1686</v>
      </c>
      <c r="J64" s="606"/>
    </row>
    <row r="65" spans="1:10">
      <c r="A65" s="604" t="s">
        <v>1739</v>
      </c>
      <c r="B65" s="604"/>
      <c r="C65" s="607">
        <v>40000</v>
      </c>
      <c r="D65" s="607">
        <v>13000</v>
      </c>
      <c r="E65" s="607">
        <f>C65-D65</f>
        <v>27000</v>
      </c>
      <c r="F65" s="608"/>
      <c r="G65" s="608"/>
      <c r="H65" s="608"/>
      <c r="I65" s="619">
        <f>E65</f>
        <v>27000</v>
      </c>
      <c r="J65" s="608"/>
    </row>
    <row r="66" spans="1:10">
      <c r="C66" s="449"/>
      <c r="D66" s="449"/>
      <c r="E66" s="449"/>
      <c r="F66" s="620" t="s">
        <v>1687</v>
      </c>
      <c r="G66" s="599"/>
      <c r="H66" s="599"/>
      <c r="I66" s="449"/>
      <c r="J66" s="599"/>
    </row>
    <row r="67" spans="1:10">
      <c r="A67" s="3" t="s">
        <v>845</v>
      </c>
      <c r="C67" s="449">
        <v>12000</v>
      </c>
      <c r="D67" s="449">
        <v>14000</v>
      </c>
      <c r="E67" s="449">
        <f>C67-D67</f>
        <v>-2000</v>
      </c>
      <c r="F67" s="490">
        <f>-E67</f>
        <v>2000</v>
      </c>
      <c r="G67" s="599"/>
      <c r="H67" s="599"/>
      <c r="I67" s="599"/>
      <c r="J67" s="599"/>
    </row>
    <row r="68" spans="1:10">
      <c r="A68" s="604"/>
      <c r="B68" s="604"/>
      <c r="C68" s="607"/>
      <c r="D68" s="607"/>
      <c r="E68" s="607"/>
      <c r="F68" s="619" t="s">
        <v>1760</v>
      </c>
      <c r="G68" s="608"/>
      <c r="H68" s="608"/>
      <c r="I68" s="608"/>
      <c r="J68" s="608"/>
    </row>
    <row r="69" spans="1:10">
      <c r="A69" s="604" t="s">
        <v>931</v>
      </c>
      <c r="B69" s="604"/>
      <c r="C69" s="607">
        <v>27000</v>
      </c>
      <c r="D69" s="607">
        <v>51000</v>
      </c>
      <c r="E69" s="607">
        <f>C69-D69</f>
        <v>-24000</v>
      </c>
      <c r="F69" s="619">
        <f>-E69</f>
        <v>24000</v>
      </c>
      <c r="G69" s="608"/>
      <c r="H69" s="608"/>
      <c r="I69" s="608"/>
      <c r="J69" s="608"/>
    </row>
    <row r="70" spans="1:10">
      <c r="C70" s="449"/>
      <c r="D70" s="449"/>
      <c r="E70" s="449"/>
      <c r="F70" s="490" t="s">
        <v>1761</v>
      </c>
      <c r="G70" s="599"/>
      <c r="H70" s="599"/>
      <c r="I70" s="599"/>
      <c r="J70" s="599"/>
    </row>
    <row r="71" spans="1:10">
      <c r="A71" s="3" t="s">
        <v>557</v>
      </c>
      <c r="C71" s="449">
        <v>47000</v>
      </c>
      <c r="D71" s="449">
        <v>42000</v>
      </c>
      <c r="E71" s="449">
        <f>C71-D71</f>
        <v>5000</v>
      </c>
      <c r="F71" s="490">
        <f>-E71</f>
        <v>-5000</v>
      </c>
      <c r="G71" s="599"/>
      <c r="H71" s="599"/>
      <c r="I71" s="599"/>
      <c r="J71" s="599"/>
    </row>
    <row r="72" spans="1:10">
      <c r="A72" s="604"/>
      <c r="B72" s="604"/>
      <c r="C72" s="607"/>
      <c r="D72" s="607"/>
      <c r="E72" s="607"/>
      <c r="F72" s="619" t="s">
        <v>587</v>
      </c>
      <c r="G72" s="618" t="s">
        <v>1770</v>
      </c>
      <c r="H72" s="608"/>
      <c r="I72" s="608"/>
      <c r="J72" s="608"/>
    </row>
    <row r="73" spans="1:10">
      <c r="A73" s="604" t="s">
        <v>1754</v>
      </c>
      <c r="B73" s="604"/>
      <c r="C73" s="607">
        <f>C23+C24</f>
        <v>75000</v>
      </c>
      <c r="D73" s="607">
        <f>D23+D24</f>
        <v>40000</v>
      </c>
      <c r="E73" s="607">
        <f>C73-D73</f>
        <v>35000</v>
      </c>
      <c r="F73" s="619">
        <f>D24-C24</f>
        <v>15000</v>
      </c>
      <c r="G73" s="619">
        <f>-C23+D23</f>
        <v>-50000</v>
      </c>
      <c r="H73" s="608"/>
      <c r="I73" s="608"/>
      <c r="J73" s="608"/>
    </row>
    <row r="74" spans="1:10">
      <c r="C74" s="449"/>
      <c r="D74" s="449"/>
      <c r="E74" s="449"/>
      <c r="F74" s="620" t="s">
        <v>1689</v>
      </c>
      <c r="G74" s="599"/>
      <c r="H74" s="599"/>
      <c r="I74" s="599"/>
      <c r="J74" s="599"/>
    </row>
    <row r="75" spans="1:10">
      <c r="A75" s="3" t="s">
        <v>1740</v>
      </c>
      <c r="C75" s="449">
        <v>-29000</v>
      </c>
      <c r="D75" s="449">
        <v>-20000</v>
      </c>
      <c r="E75" s="449">
        <f>C75-D75</f>
        <v>-9000</v>
      </c>
      <c r="F75" s="490">
        <f>-E75</f>
        <v>9000</v>
      </c>
      <c r="G75" s="599"/>
      <c r="H75" s="599"/>
      <c r="I75" s="599"/>
      <c r="J75" s="599"/>
    </row>
    <row r="76" spans="1:10">
      <c r="A76" s="604"/>
      <c r="B76" s="604"/>
      <c r="C76" s="607"/>
      <c r="D76" s="607"/>
      <c r="E76" s="607"/>
      <c r="F76" s="607"/>
      <c r="G76" s="608"/>
      <c r="H76" s="618" t="s">
        <v>1763</v>
      </c>
      <c r="I76" s="608"/>
      <c r="J76" s="608"/>
    </row>
    <row r="77" spans="1:10">
      <c r="A77" s="604" t="s">
        <v>75</v>
      </c>
      <c r="B77" s="604"/>
      <c r="C77" s="607">
        <v>-82000</v>
      </c>
      <c r="D77" s="607">
        <v>-71000</v>
      </c>
      <c r="E77" s="607">
        <f t="shared" ref="E77:E81" si="0">C77-D77</f>
        <v>-11000</v>
      </c>
      <c r="F77" s="608"/>
      <c r="G77" s="608"/>
      <c r="H77" s="619">
        <f>-E77</f>
        <v>11000</v>
      </c>
      <c r="I77" s="608"/>
      <c r="J77" s="608"/>
    </row>
    <row r="78" spans="1:10">
      <c r="C78" s="449"/>
      <c r="D78" s="449"/>
      <c r="E78" s="449"/>
      <c r="F78" s="599"/>
      <c r="G78" s="599"/>
      <c r="H78" s="490" t="s">
        <v>1598</v>
      </c>
      <c r="I78" s="599"/>
      <c r="J78" s="599"/>
    </row>
    <row r="79" spans="1:10">
      <c r="A79" s="3" t="s">
        <v>1753</v>
      </c>
      <c r="C79" s="449">
        <f>-(C30+C31)</f>
        <v>-76000</v>
      </c>
      <c r="D79" s="449">
        <f>-D30-D31</f>
        <v>-65000</v>
      </c>
      <c r="E79" s="449">
        <f t="shared" si="0"/>
        <v>-11000</v>
      </c>
      <c r="F79" s="599"/>
      <c r="G79" s="599"/>
      <c r="H79" s="490">
        <f>-E79</f>
        <v>11000</v>
      </c>
      <c r="I79" s="599"/>
      <c r="J79" s="599"/>
    </row>
    <row r="80" spans="1:10">
      <c r="A80" s="604"/>
      <c r="B80" s="604"/>
      <c r="C80" s="607"/>
      <c r="D80" s="607"/>
      <c r="E80" s="607"/>
      <c r="F80" s="618" t="s">
        <v>467</v>
      </c>
      <c r="G80" s="608"/>
      <c r="H80" s="619" t="s">
        <v>1767</v>
      </c>
      <c r="I80" s="608"/>
      <c r="J80" s="608"/>
    </row>
    <row r="81" spans="1:10">
      <c r="A81" s="604" t="s">
        <v>1501</v>
      </c>
      <c r="B81" s="604"/>
      <c r="C81" s="607">
        <f>-C32</f>
        <v>-14000</v>
      </c>
      <c r="D81" s="607">
        <f>-D32</f>
        <v>-4000</v>
      </c>
      <c r="E81" s="607">
        <f t="shared" si="0"/>
        <v>-10000</v>
      </c>
      <c r="F81" s="619">
        <f>10000-H81</f>
        <v>15000</v>
      </c>
      <c r="G81" s="607"/>
      <c r="H81" s="619">
        <v>-5000</v>
      </c>
      <c r="I81" s="607"/>
      <c r="J81" s="608"/>
    </row>
    <row r="82" spans="1:10">
      <c r="A82" s="3" t="s">
        <v>436</v>
      </c>
      <c r="C82" s="450">
        <f>SUM(C65:C81)</f>
        <v>0</v>
      </c>
      <c r="D82" s="450">
        <f>SUM(D65:D81)</f>
        <v>0</v>
      </c>
      <c r="E82" s="450">
        <f>SUM(E65:E81)</f>
        <v>0</v>
      </c>
      <c r="F82" s="491">
        <f>SUM(F64:F81)</f>
        <v>60000</v>
      </c>
      <c r="G82" s="491">
        <f>SUM(G64:G81)</f>
        <v>-50000</v>
      </c>
      <c r="H82" s="491">
        <f>SUM(H64:H81)</f>
        <v>17000</v>
      </c>
      <c r="I82" s="491">
        <f>SUM(I64:I81)</f>
        <v>27000</v>
      </c>
      <c r="J82" s="601"/>
    </row>
    <row r="84" spans="1:10">
      <c r="A84" s="3" t="s">
        <v>1771</v>
      </c>
    </row>
    <row r="85" spans="1:10">
      <c r="A85" s="3" t="s">
        <v>1788</v>
      </c>
    </row>
    <row r="86" spans="1:10">
      <c r="A86" s="3" t="s">
        <v>1789</v>
      </c>
    </row>
    <row r="87" spans="1:10" ht="14" thickBot="1"/>
    <row r="88" spans="1:10">
      <c r="A88" s="461" t="s">
        <v>1772</v>
      </c>
      <c r="B88" s="591"/>
      <c r="C88" s="591"/>
      <c r="D88" s="591"/>
      <c r="E88" s="591"/>
      <c r="F88" s="454"/>
    </row>
    <row r="89" spans="1:10">
      <c r="A89" s="455"/>
      <c r="F89" s="592"/>
    </row>
    <row r="90" spans="1:10">
      <c r="A90" s="621" t="s">
        <v>1773</v>
      </c>
      <c r="F90" s="592"/>
    </row>
    <row r="91" spans="1:10">
      <c r="A91" s="455" t="s">
        <v>467</v>
      </c>
      <c r="E91" s="447">
        <f>F81</f>
        <v>15000</v>
      </c>
      <c r="F91" s="592"/>
    </row>
    <row r="92" spans="1:10">
      <c r="A92" s="455"/>
      <c r="F92" s="592"/>
    </row>
    <row r="93" spans="1:10">
      <c r="A93" s="455" t="s">
        <v>1774</v>
      </c>
      <c r="F93" s="592"/>
    </row>
    <row r="94" spans="1:10">
      <c r="A94" s="455"/>
      <c r="F94" s="592"/>
    </row>
    <row r="95" spans="1:10">
      <c r="A95" s="622" t="s">
        <v>1775</v>
      </c>
      <c r="F95" s="592"/>
    </row>
    <row r="96" spans="1:10">
      <c r="A96" s="455"/>
      <c r="B96" s="3" t="s">
        <v>587</v>
      </c>
      <c r="E96" s="447">
        <f>F73</f>
        <v>15000</v>
      </c>
      <c r="F96" s="592"/>
    </row>
    <row r="97" spans="1:6">
      <c r="A97" s="455"/>
      <c r="F97" s="592"/>
    </row>
    <row r="98" spans="1:6">
      <c r="A98" s="622" t="s">
        <v>1776</v>
      </c>
      <c r="F98" s="592"/>
    </row>
    <row r="99" spans="1:6">
      <c r="A99" s="455"/>
      <c r="B99" s="3" t="s">
        <v>1687</v>
      </c>
      <c r="E99" s="447">
        <f>F67</f>
        <v>2000</v>
      </c>
      <c r="F99" s="592"/>
    </row>
    <row r="100" spans="1:6">
      <c r="A100" s="455"/>
      <c r="B100" s="3" t="s">
        <v>1760</v>
      </c>
      <c r="E100" s="447">
        <f>F69</f>
        <v>24000</v>
      </c>
      <c r="F100" s="592"/>
    </row>
    <row r="101" spans="1:6">
      <c r="A101" s="455"/>
      <c r="B101" s="3" t="s">
        <v>1761</v>
      </c>
      <c r="E101" s="447">
        <f>F71</f>
        <v>-5000</v>
      </c>
      <c r="F101" s="592"/>
    </row>
    <row r="102" spans="1:6">
      <c r="A102" s="455"/>
      <c r="B102" s="3" t="s">
        <v>1783</v>
      </c>
      <c r="E102" s="447">
        <f>F75</f>
        <v>9000</v>
      </c>
      <c r="F102" s="592"/>
    </row>
    <row r="103" spans="1:6">
      <c r="A103" s="455"/>
      <c r="F103" s="592"/>
    </row>
    <row r="104" spans="1:6">
      <c r="A104" s="455" t="s">
        <v>1777</v>
      </c>
      <c r="E104" s="448">
        <f>SUM(E91:E102)</f>
        <v>60000</v>
      </c>
      <c r="F104" s="592"/>
    </row>
    <row r="105" spans="1:6">
      <c r="A105" s="455"/>
      <c r="F105" s="592"/>
    </row>
    <row r="106" spans="1:6">
      <c r="A106" s="621" t="s">
        <v>1778</v>
      </c>
      <c r="F106" s="592"/>
    </row>
    <row r="107" spans="1:6">
      <c r="A107" s="455" t="s">
        <v>1784</v>
      </c>
      <c r="E107" s="447">
        <f>G73</f>
        <v>-50000</v>
      </c>
      <c r="F107" s="592"/>
    </row>
    <row r="108" spans="1:6">
      <c r="A108" s="455" t="s">
        <v>1785</v>
      </c>
      <c r="E108" s="448">
        <f>E107</f>
        <v>-50000</v>
      </c>
      <c r="F108" s="592"/>
    </row>
    <row r="109" spans="1:6">
      <c r="A109" s="455"/>
      <c r="F109" s="592"/>
    </row>
    <row r="110" spans="1:6">
      <c r="A110" s="621" t="s">
        <v>1779</v>
      </c>
      <c r="F110" s="592"/>
    </row>
    <row r="111" spans="1:6">
      <c r="A111" s="455" t="s">
        <v>1786</v>
      </c>
      <c r="E111" s="447">
        <f>H77</f>
        <v>11000</v>
      </c>
      <c r="F111" s="592"/>
    </row>
    <row r="112" spans="1:6">
      <c r="A112" s="455" t="s">
        <v>1598</v>
      </c>
      <c r="E112" s="447">
        <f>H79</f>
        <v>11000</v>
      </c>
      <c r="F112" s="592"/>
    </row>
    <row r="113" spans="1:8">
      <c r="A113" s="455" t="s">
        <v>1767</v>
      </c>
      <c r="E113" s="447">
        <f>H81</f>
        <v>-5000</v>
      </c>
      <c r="F113" s="592"/>
    </row>
    <row r="114" spans="1:8">
      <c r="A114" s="455" t="s">
        <v>1787</v>
      </c>
      <c r="E114" s="448">
        <f>SUM(E111:E113)</f>
        <v>17000</v>
      </c>
      <c r="F114" s="592"/>
    </row>
    <row r="115" spans="1:8">
      <c r="A115" s="455"/>
      <c r="F115" s="592"/>
    </row>
    <row r="116" spans="1:8">
      <c r="A116" s="455"/>
      <c r="F116" s="592"/>
    </row>
    <row r="117" spans="1:8">
      <c r="A117" s="455"/>
      <c r="F117" s="592"/>
    </row>
    <row r="118" spans="1:8">
      <c r="A118" s="621" t="s">
        <v>1780</v>
      </c>
      <c r="B118" s="443"/>
      <c r="C118" s="443"/>
      <c r="D118" s="443"/>
      <c r="E118" s="611">
        <f>E104+E108+E114</f>
        <v>27000</v>
      </c>
      <c r="F118" s="592"/>
    </row>
    <row r="119" spans="1:8">
      <c r="A119" s="621" t="s">
        <v>1848</v>
      </c>
      <c r="B119" s="443"/>
      <c r="C119" s="443"/>
      <c r="D119" s="443"/>
      <c r="E119" s="611">
        <f>D65</f>
        <v>13000</v>
      </c>
      <c r="F119" s="592"/>
    </row>
    <row r="120" spans="1:8" ht="14" thickBot="1">
      <c r="A120" s="623" t="s">
        <v>1849</v>
      </c>
      <c r="B120" s="624"/>
      <c r="C120" s="624"/>
      <c r="D120" s="624"/>
      <c r="E120" s="625">
        <f>E118+E119</f>
        <v>40000</v>
      </c>
      <c r="F120" s="593"/>
    </row>
    <row r="122" spans="1:8">
      <c r="A122" s="598" t="s">
        <v>1791</v>
      </c>
      <c r="B122" s="598"/>
      <c r="C122" s="598"/>
      <c r="D122" s="598"/>
      <c r="E122" s="598"/>
      <c r="F122" s="598"/>
      <c r="G122" s="598"/>
      <c r="H122" s="598"/>
    </row>
    <row r="124" spans="1:8">
      <c r="A124" s="3" t="s">
        <v>1792</v>
      </c>
    </row>
    <row r="126" spans="1:8">
      <c r="A126" s="3" t="s">
        <v>452</v>
      </c>
      <c r="C126" s="594">
        <v>33238</v>
      </c>
      <c r="D126" s="594">
        <v>32873</v>
      </c>
    </row>
    <row r="127" spans="1:8">
      <c r="C127" s="595" t="s">
        <v>644</v>
      </c>
      <c r="D127" s="595" t="s">
        <v>644</v>
      </c>
    </row>
    <row r="128" spans="1:8">
      <c r="A128" s="3" t="s">
        <v>1739</v>
      </c>
      <c r="C128" s="449">
        <v>98000</v>
      </c>
      <c r="D128" s="449">
        <v>72000</v>
      </c>
    </row>
    <row r="129" spans="1:4">
      <c r="A129" s="3" t="s">
        <v>845</v>
      </c>
      <c r="C129" s="449">
        <v>73000</v>
      </c>
      <c r="D129" s="449">
        <v>49000</v>
      </c>
    </row>
    <row r="130" spans="1:4">
      <c r="A130" s="3" t="s">
        <v>931</v>
      </c>
      <c r="C130" s="449">
        <v>28000</v>
      </c>
      <c r="D130" s="449">
        <v>34000</v>
      </c>
    </row>
    <row r="131" spans="1:4">
      <c r="A131" s="3" t="s">
        <v>557</v>
      </c>
      <c r="C131" s="449">
        <v>39000</v>
      </c>
      <c r="D131" s="449">
        <v>32000</v>
      </c>
    </row>
    <row r="132" spans="1:4">
      <c r="A132" s="626" t="s">
        <v>1793</v>
      </c>
      <c r="B132" s="626"/>
      <c r="C132" s="627">
        <v>230000</v>
      </c>
      <c r="D132" s="627">
        <v>170000</v>
      </c>
    </row>
    <row r="133" spans="1:4">
      <c r="A133" s="3" t="s">
        <v>1547</v>
      </c>
      <c r="C133" s="449">
        <v>210000</v>
      </c>
      <c r="D133" s="449">
        <v>190000</v>
      </c>
    </row>
    <row r="134" spans="1:4">
      <c r="A134" s="3" t="s">
        <v>1548</v>
      </c>
      <c r="C134" s="449">
        <v>-80000</v>
      </c>
      <c r="D134" s="449">
        <v>-90000</v>
      </c>
    </row>
    <row r="135" spans="1:4">
      <c r="C135" s="450">
        <f>SUM(C128:C134)</f>
        <v>598000</v>
      </c>
      <c r="D135" s="450">
        <f>SUM(D128:D134)</f>
        <v>457000</v>
      </c>
    </row>
    <row r="136" spans="1:4">
      <c r="C136" s="449"/>
      <c r="D136" s="449"/>
    </row>
    <row r="137" spans="1:4">
      <c r="A137" s="3" t="s">
        <v>771</v>
      </c>
      <c r="C137" s="449">
        <v>70000</v>
      </c>
      <c r="D137" s="449">
        <v>70000</v>
      </c>
    </row>
    <row r="138" spans="1:4">
      <c r="A138" s="3" t="s">
        <v>1740</v>
      </c>
      <c r="C138" s="449">
        <v>17000</v>
      </c>
      <c r="D138" s="449">
        <v>34000</v>
      </c>
    </row>
    <row r="139" spans="1:4">
      <c r="A139" s="3" t="s">
        <v>1794</v>
      </c>
      <c r="C139" s="449">
        <v>72000</v>
      </c>
      <c r="D139" s="449">
        <v>68000</v>
      </c>
    </row>
    <row r="140" spans="1:4">
      <c r="A140" s="626" t="s">
        <v>1795</v>
      </c>
      <c r="B140" s="626"/>
      <c r="C140" s="627">
        <v>14000</v>
      </c>
      <c r="D140" s="627">
        <v>0</v>
      </c>
    </row>
    <row r="141" spans="1:4">
      <c r="A141" s="3" t="s">
        <v>1796</v>
      </c>
      <c r="C141" s="449">
        <v>75000</v>
      </c>
      <c r="D141" s="449">
        <v>68000</v>
      </c>
    </row>
    <row r="142" spans="1:4">
      <c r="A142" s="3" t="s">
        <v>1552</v>
      </c>
      <c r="C142" s="449">
        <v>110000</v>
      </c>
      <c r="D142" s="449">
        <v>90000</v>
      </c>
    </row>
    <row r="143" spans="1:4">
      <c r="A143" s="3" t="s">
        <v>1501</v>
      </c>
      <c r="C143" s="449">
        <f>C135-C137-C138-C139-C140-C141-C142</f>
        <v>240000</v>
      </c>
      <c r="D143" s="449">
        <f>D135-D137-D138-D139-D140-D141-D142</f>
        <v>127000</v>
      </c>
    </row>
    <row r="144" spans="1:4">
      <c r="C144" s="450">
        <f>SUM(C137:C143)</f>
        <v>598000</v>
      </c>
      <c r="D144" s="450">
        <f>SUM(D137:D143)</f>
        <v>457000</v>
      </c>
    </row>
    <row r="146" spans="1:10">
      <c r="A146" s="3" t="s">
        <v>1797</v>
      </c>
    </row>
    <row r="147" spans="1:10">
      <c r="A147" s="3" t="s">
        <v>1805</v>
      </c>
    </row>
    <row r="148" spans="1:10">
      <c r="A148" s="3" t="s">
        <v>1850</v>
      </c>
    </row>
    <row r="149" spans="1:10">
      <c r="A149" s="3" t="s">
        <v>1798</v>
      </c>
    </row>
    <row r="150" spans="1:10">
      <c r="A150" s="3" t="s">
        <v>1799</v>
      </c>
    </row>
    <row r="151" spans="1:10">
      <c r="A151" s="3" t="s">
        <v>1800</v>
      </c>
    </row>
    <row r="152" spans="1:10">
      <c r="A152" s="3" t="s">
        <v>1801</v>
      </c>
    </row>
    <row r="154" spans="1:10">
      <c r="A154" s="3" t="s">
        <v>1802</v>
      </c>
    </row>
    <row r="156" spans="1:10">
      <c r="A156" s="598" t="s">
        <v>1803</v>
      </c>
      <c r="B156" s="598"/>
      <c r="C156" s="598"/>
      <c r="D156" s="598"/>
      <c r="E156" s="598"/>
      <c r="F156" s="598"/>
      <c r="G156" s="598"/>
      <c r="H156" s="598"/>
    </row>
    <row r="158" spans="1:10">
      <c r="A158" s="443" t="s">
        <v>1751</v>
      </c>
      <c r="C158" s="600">
        <v>33238</v>
      </c>
      <c r="D158" s="600">
        <v>32873</v>
      </c>
      <c r="E158" s="602" t="s">
        <v>1678</v>
      </c>
      <c r="F158" s="602" t="s">
        <v>1679</v>
      </c>
      <c r="G158" s="602" t="s">
        <v>1680</v>
      </c>
      <c r="H158" s="602" t="s">
        <v>1681</v>
      </c>
      <c r="I158" s="602" t="s">
        <v>66</v>
      </c>
      <c r="J158" s="602" t="s">
        <v>1755</v>
      </c>
    </row>
    <row r="159" spans="1:10">
      <c r="A159" s="603"/>
      <c r="B159" s="604"/>
      <c r="C159" s="615"/>
      <c r="D159" s="615"/>
      <c r="E159" s="628"/>
      <c r="F159" s="616"/>
      <c r="G159" s="616"/>
      <c r="H159" s="616"/>
      <c r="I159" s="619" t="s">
        <v>1686</v>
      </c>
      <c r="J159" s="616"/>
    </row>
    <row r="160" spans="1:10">
      <c r="A160" s="604" t="s">
        <v>1739</v>
      </c>
      <c r="B160" s="604"/>
      <c r="C160" s="607">
        <v>98000</v>
      </c>
      <c r="D160" s="607">
        <v>72000</v>
      </c>
      <c r="E160" s="619">
        <f>C160-D160</f>
        <v>26000</v>
      </c>
      <c r="F160" s="609"/>
      <c r="G160" s="609"/>
      <c r="H160" s="609"/>
      <c r="I160" s="619">
        <f>E160</f>
        <v>26000</v>
      </c>
      <c r="J160" s="609"/>
    </row>
    <row r="161" spans="1:10">
      <c r="C161" s="449"/>
      <c r="D161" s="449"/>
      <c r="E161" s="490"/>
      <c r="F161" s="490" t="s">
        <v>1811</v>
      </c>
      <c r="G161" s="449"/>
      <c r="H161" s="449"/>
      <c r="I161" s="449"/>
      <c r="J161" s="449"/>
    </row>
    <row r="162" spans="1:10">
      <c r="A162" s="3" t="s">
        <v>845</v>
      </c>
      <c r="C162" s="449">
        <v>73000</v>
      </c>
      <c r="D162" s="449">
        <v>49000</v>
      </c>
      <c r="E162" s="490">
        <f t="shared" ref="E162:E185" si="1">C162-D162</f>
        <v>24000</v>
      </c>
      <c r="F162" s="490">
        <f>-E162</f>
        <v>-24000</v>
      </c>
      <c r="G162" s="449"/>
      <c r="H162" s="449"/>
      <c r="I162" s="449"/>
      <c r="J162" s="449"/>
    </row>
    <row r="163" spans="1:10">
      <c r="A163" s="604"/>
      <c r="B163" s="604"/>
      <c r="C163" s="607"/>
      <c r="D163" s="607"/>
      <c r="E163" s="619"/>
      <c r="F163" s="619" t="s">
        <v>1760</v>
      </c>
      <c r="G163" s="609"/>
      <c r="H163" s="609"/>
      <c r="I163" s="609"/>
      <c r="J163" s="609"/>
    </row>
    <row r="164" spans="1:10">
      <c r="A164" s="604" t="s">
        <v>931</v>
      </c>
      <c r="B164" s="604"/>
      <c r="C164" s="607">
        <v>28000</v>
      </c>
      <c r="D164" s="607">
        <v>34000</v>
      </c>
      <c r="E164" s="619">
        <f t="shared" si="1"/>
        <v>-6000</v>
      </c>
      <c r="F164" s="619">
        <f>-E164</f>
        <v>6000</v>
      </c>
      <c r="G164" s="609"/>
      <c r="H164" s="609"/>
      <c r="I164" s="609"/>
      <c r="J164" s="609"/>
    </row>
    <row r="165" spans="1:10">
      <c r="C165" s="449"/>
      <c r="D165" s="449"/>
      <c r="E165" s="490"/>
      <c r="F165" s="490" t="s">
        <v>1761</v>
      </c>
      <c r="G165" s="449"/>
      <c r="H165" s="449"/>
      <c r="I165" s="449"/>
      <c r="J165" s="449"/>
    </row>
    <row r="166" spans="1:10">
      <c r="A166" s="3" t="s">
        <v>557</v>
      </c>
      <c r="C166" s="449">
        <v>39000</v>
      </c>
      <c r="D166" s="449">
        <v>32000</v>
      </c>
      <c r="E166" s="490">
        <f t="shared" si="1"/>
        <v>7000</v>
      </c>
      <c r="F166" s="490">
        <f>-E166</f>
        <v>-7000</v>
      </c>
      <c r="G166" s="449"/>
      <c r="H166" s="449"/>
      <c r="I166" s="449"/>
      <c r="J166" s="449"/>
    </row>
    <row r="167" spans="1:10">
      <c r="A167" s="604"/>
      <c r="B167" s="604"/>
      <c r="C167" s="607"/>
      <c r="D167" s="607"/>
      <c r="E167" s="619"/>
      <c r="F167" s="609"/>
      <c r="G167" s="619" t="s">
        <v>1808</v>
      </c>
      <c r="H167" s="609"/>
      <c r="I167" s="609"/>
      <c r="J167" s="619" t="s">
        <v>1806</v>
      </c>
    </row>
    <row r="168" spans="1:10">
      <c r="A168" s="604" t="s">
        <v>1793</v>
      </c>
      <c r="B168" s="604"/>
      <c r="C168" s="607">
        <v>230000</v>
      </c>
      <c r="D168" s="607">
        <v>170000</v>
      </c>
      <c r="E168" s="619">
        <f t="shared" si="1"/>
        <v>60000</v>
      </c>
      <c r="F168" s="609"/>
      <c r="G168" s="619">
        <f>-60000-J168</f>
        <v>-46000</v>
      </c>
      <c r="H168" s="609"/>
      <c r="I168" s="609"/>
      <c r="J168" s="619">
        <f>-14000</f>
        <v>-14000</v>
      </c>
    </row>
    <row r="169" spans="1:10">
      <c r="C169" s="449"/>
      <c r="D169" s="449"/>
      <c r="E169" s="490"/>
      <c r="F169" s="490" t="s">
        <v>587</v>
      </c>
      <c r="G169" s="490" t="s">
        <v>1808</v>
      </c>
      <c r="H169" s="490"/>
      <c r="I169" s="449"/>
      <c r="J169" s="449"/>
    </row>
    <row r="170" spans="1:10">
      <c r="A170" s="3" t="s">
        <v>1804</v>
      </c>
      <c r="C170" s="449">
        <f>C133+C134</f>
        <v>130000</v>
      </c>
      <c r="D170" s="449">
        <f>D133+D134</f>
        <v>100000</v>
      </c>
      <c r="E170" s="490">
        <f t="shared" si="1"/>
        <v>30000</v>
      </c>
      <c r="F170" s="629">
        <f>-D196</f>
        <v>8000</v>
      </c>
      <c r="G170" s="629">
        <f>-D202</f>
        <v>-70000</v>
      </c>
      <c r="H170" s="490"/>
      <c r="I170" s="449"/>
      <c r="J170" s="449"/>
    </row>
    <row r="171" spans="1:10">
      <c r="C171" s="449"/>
      <c r="D171" s="449"/>
      <c r="E171" s="490"/>
      <c r="F171" s="490" t="s">
        <v>1398</v>
      </c>
      <c r="G171" s="490" t="s">
        <v>1818</v>
      </c>
      <c r="H171" s="490"/>
      <c r="I171" s="449"/>
      <c r="J171" s="449"/>
    </row>
    <row r="172" spans="1:10">
      <c r="C172" s="449"/>
      <c r="D172" s="449"/>
      <c r="E172" s="490"/>
      <c r="F172" s="640">
        <f>-G196</f>
        <v>-5000</v>
      </c>
      <c r="G172" s="490">
        <f>G194</f>
        <v>37000</v>
      </c>
      <c r="H172" s="490"/>
      <c r="I172" s="449"/>
      <c r="J172" s="449"/>
    </row>
    <row r="173" spans="1:10">
      <c r="A173" s="604" t="s">
        <v>771</v>
      </c>
      <c r="B173" s="604"/>
      <c r="C173" s="607">
        <f>-C137</f>
        <v>-70000</v>
      </c>
      <c r="D173" s="607">
        <f>-D137</f>
        <v>-70000</v>
      </c>
      <c r="E173" s="619">
        <f t="shared" si="1"/>
        <v>0</v>
      </c>
      <c r="F173" s="641" t="s">
        <v>1809</v>
      </c>
      <c r="G173" s="641"/>
      <c r="H173" s="641"/>
      <c r="I173" s="641"/>
      <c r="J173" s="641"/>
    </row>
    <row r="174" spans="1:10">
      <c r="C174" s="449"/>
      <c r="D174" s="449"/>
      <c r="E174" s="490"/>
      <c r="F174" s="490" t="s">
        <v>1812</v>
      </c>
      <c r="G174" s="614"/>
      <c r="H174" s="614"/>
      <c r="I174" s="614"/>
      <c r="J174" s="614"/>
    </row>
    <row r="175" spans="1:10">
      <c r="A175" s="3" t="s">
        <v>1740</v>
      </c>
      <c r="C175" s="449">
        <f>-C138</f>
        <v>-17000</v>
      </c>
      <c r="D175" s="449">
        <f>-D138</f>
        <v>-34000</v>
      </c>
      <c r="E175" s="490">
        <f t="shared" si="1"/>
        <v>17000</v>
      </c>
      <c r="F175" s="490">
        <f>-E175</f>
        <v>-17000</v>
      </c>
      <c r="G175" s="449"/>
      <c r="H175" s="449"/>
      <c r="I175" s="449"/>
      <c r="J175" s="449"/>
    </row>
    <row r="176" spans="1:10">
      <c r="A176" s="604"/>
      <c r="B176" s="604"/>
      <c r="C176" s="607"/>
      <c r="D176" s="607"/>
      <c r="E176" s="619"/>
      <c r="F176" s="609"/>
      <c r="G176" s="609"/>
      <c r="H176" s="619" t="s">
        <v>1819</v>
      </c>
      <c r="I176" s="609"/>
      <c r="J176" s="609"/>
    </row>
    <row r="177" spans="1:10">
      <c r="A177" s="604" t="s">
        <v>1794</v>
      </c>
      <c r="B177" s="604"/>
      <c r="C177" s="607">
        <f>-C139</f>
        <v>-72000</v>
      </c>
      <c r="D177" s="607">
        <f>-D139</f>
        <v>-68000</v>
      </c>
      <c r="E177" s="619">
        <f t="shared" si="1"/>
        <v>-4000</v>
      </c>
      <c r="F177" s="609"/>
      <c r="G177" s="609"/>
      <c r="H177" s="619">
        <f>D177</f>
        <v>-68000</v>
      </c>
      <c r="I177" s="609"/>
      <c r="J177" s="609"/>
    </row>
    <row r="178" spans="1:10">
      <c r="A178" s="604"/>
      <c r="B178" s="604"/>
      <c r="C178" s="607"/>
      <c r="D178" s="607"/>
      <c r="E178" s="619"/>
      <c r="F178" s="609"/>
      <c r="G178" s="609"/>
      <c r="H178" s="619" t="s">
        <v>1820</v>
      </c>
      <c r="I178" s="609"/>
      <c r="J178" s="609"/>
    </row>
    <row r="179" spans="1:10">
      <c r="A179" s="604"/>
      <c r="B179" s="604"/>
      <c r="C179" s="607"/>
      <c r="D179" s="607"/>
      <c r="E179" s="619"/>
      <c r="F179" s="609"/>
      <c r="G179" s="609"/>
      <c r="H179" s="619">
        <f>-C177</f>
        <v>72000</v>
      </c>
      <c r="I179" s="609"/>
      <c r="J179" s="609"/>
    </row>
    <row r="180" spans="1:10">
      <c r="C180" s="449"/>
      <c r="D180" s="449"/>
      <c r="E180" s="490"/>
      <c r="F180" s="610"/>
      <c r="G180" s="610"/>
      <c r="H180" s="610"/>
      <c r="I180" s="610"/>
      <c r="J180" s="490" t="s">
        <v>1807</v>
      </c>
    </row>
    <row r="181" spans="1:10">
      <c r="A181" s="3" t="s">
        <v>1795</v>
      </c>
      <c r="C181" s="449">
        <f>-C140</f>
        <v>-14000</v>
      </c>
      <c r="D181" s="449">
        <f>D140</f>
        <v>0</v>
      </c>
      <c r="E181" s="490">
        <f t="shared" si="1"/>
        <v>-14000</v>
      </c>
      <c r="F181" s="610"/>
      <c r="G181" s="610"/>
      <c r="H181" s="610"/>
      <c r="I181" s="610"/>
      <c r="J181" s="490">
        <f>-J168</f>
        <v>14000</v>
      </c>
    </row>
    <row r="182" spans="1:10">
      <c r="A182" s="604"/>
      <c r="B182" s="604"/>
      <c r="C182" s="607"/>
      <c r="D182" s="607"/>
      <c r="E182" s="619"/>
      <c r="F182" s="609"/>
      <c r="G182" s="609"/>
      <c r="H182" s="619" t="s">
        <v>1598</v>
      </c>
      <c r="I182" s="609"/>
      <c r="J182" s="609"/>
    </row>
    <row r="183" spans="1:10">
      <c r="A183" s="604" t="s">
        <v>1753</v>
      </c>
      <c r="B183" s="604"/>
      <c r="C183" s="607">
        <f>-(C141+C142)</f>
        <v>-185000</v>
      </c>
      <c r="D183" s="607">
        <f>-(D141+D142)</f>
        <v>-158000</v>
      </c>
      <c r="E183" s="619">
        <f t="shared" si="1"/>
        <v>-27000</v>
      </c>
      <c r="F183" s="609"/>
      <c r="G183" s="609"/>
      <c r="H183" s="619">
        <f>-E183</f>
        <v>27000</v>
      </c>
      <c r="I183" s="609"/>
      <c r="J183" s="609"/>
    </row>
    <row r="184" spans="1:10">
      <c r="C184" s="449"/>
      <c r="D184" s="449"/>
      <c r="E184" s="490"/>
      <c r="F184" s="490" t="s">
        <v>467</v>
      </c>
      <c r="G184" s="610"/>
      <c r="H184" s="490" t="s">
        <v>1810</v>
      </c>
      <c r="I184" s="610"/>
      <c r="J184" s="610"/>
    </row>
    <row r="185" spans="1:10">
      <c r="A185" s="3" t="s">
        <v>1501</v>
      </c>
      <c r="C185" s="449">
        <f>-C143</f>
        <v>-240000</v>
      </c>
      <c r="D185" s="449">
        <f>-D143</f>
        <v>-127000</v>
      </c>
      <c r="E185" s="490">
        <f t="shared" si="1"/>
        <v>-113000</v>
      </c>
      <c r="F185" s="490">
        <f>-E185-H185</f>
        <v>128000</v>
      </c>
      <c r="G185" s="610"/>
      <c r="H185" s="490">
        <f>-15000</f>
        <v>-15000</v>
      </c>
      <c r="I185" s="610"/>
      <c r="J185" s="610"/>
    </row>
    <row r="186" spans="1:10">
      <c r="A186" s="3" t="s">
        <v>436</v>
      </c>
      <c r="C186" s="450">
        <f t="shared" ref="C186:J186" si="2">SUM(C160:C185)</f>
        <v>0</v>
      </c>
      <c r="D186" s="450">
        <f t="shared" si="2"/>
        <v>0</v>
      </c>
      <c r="E186" s="450">
        <f t="shared" si="2"/>
        <v>0</v>
      </c>
      <c r="F186" s="450">
        <f t="shared" si="2"/>
        <v>89000</v>
      </c>
      <c r="G186" s="450">
        <f t="shared" si="2"/>
        <v>-79000</v>
      </c>
      <c r="H186" s="450">
        <f t="shared" si="2"/>
        <v>16000</v>
      </c>
      <c r="I186" s="450">
        <f t="shared" si="2"/>
        <v>26000</v>
      </c>
      <c r="J186" s="450">
        <f t="shared" si="2"/>
        <v>0</v>
      </c>
    </row>
    <row r="188" spans="1:10">
      <c r="A188" s="3" t="s">
        <v>1851</v>
      </c>
    </row>
    <row r="189" spans="1:10">
      <c r="A189" s="3" t="s">
        <v>1852</v>
      </c>
    </row>
    <row r="190" spans="1:10">
      <c r="A190" s="3" t="s">
        <v>1853</v>
      </c>
    </row>
    <row r="191" spans="1:10">
      <c r="A191" s="3" t="s">
        <v>1854</v>
      </c>
    </row>
    <row r="193" spans="1:9">
      <c r="A193" s="613" t="s">
        <v>1856</v>
      </c>
      <c r="F193" s="613" t="s">
        <v>1857</v>
      </c>
    </row>
    <row r="194" spans="1:9">
      <c r="A194" s="3" t="s">
        <v>1862</v>
      </c>
      <c r="B194" s="3" t="s">
        <v>1860</v>
      </c>
      <c r="D194" s="490">
        <v>-90000</v>
      </c>
      <c r="F194" s="3" t="s">
        <v>1397</v>
      </c>
      <c r="G194" s="490">
        <v>37000</v>
      </c>
    </row>
    <row r="195" spans="1:9">
      <c r="B195" s="3" t="s">
        <v>1813</v>
      </c>
      <c r="D195" s="490">
        <v>18000</v>
      </c>
      <c r="F195" s="3" t="s">
        <v>1815</v>
      </c>
      <c r="G195" s="490">
        <f>50000-18000</f>
        <v>32000</v>
      </c>
      <c r="I195" s="3" t="s">
        <v>1863</v>
      </c>
    </row>
    <row r="196" spans="1:9">
      <c r="B196" s="3" t="s">
        <v>1814</v>
      </c>
      <c r="D196" s="629">
        <f>D197-D195-D194</f>
        <v>-8000</v>
      </c>
      <c r="F196" s="3" t="s">
        <v>1398</v>
      </c>
      <c r="G196" s="630">
        <v>5000</v>
      </c>
      <c r="H196" s="3" t="s">
        <v>1864</v>
      </c>
    </row>
    <row r="197" spans="1:9">
      <c r="A197" s="3" t="s">
        <v>1862</v>
      </c>
      <c r="B197" s="3" t="s">
        <v>1861</v>
      </c>
      <c r="D197" s="491">
        <v>-80000</v>
      </c>
    </row>
    <row r="198" spans="1:9">
      <c r="D198" s="447"/>
      <c r="F198" s="3" t="s">
        <v>1865</v>
      </c>
    </row>
    <row r="199" spans="1:9">
      <c r="A199" s="613" t="s">
        <v>1855</v>
      </c>
      <c r="D199" s="447"/>
      <c r="F199" s="3" t="s">
        <v>1866</v>
      </c>
    </row>
    <row r="200" spans="1:9">
      <c r="A200" s="3" t="s">
        <v>1862</v>
      </c>
      <c r="B200" s="3" t="s">
        <v>1858</v>
      </c>
      <c r="D200" s="490">
        <v>190000</v>
      </c>
      <c r="F200" s="3" t="s">
        <v>1867</v>
      </c>
    </row>
    <row r="201" spans="1:9" ht="14" thickBot="1">
      <c r="B201" s="3" t="s">
        <v>1816</v>
      </c>
      <c r="D201" s="490">
        <f>-50000</f>
        <v>-50000</v>
      </c>
    </row>
    <row r="202" spans="1:9">
      <c r="B202" s="3" t="s">
        <v>1817</v>
      </c>
      <c r="D202" s="629">
        <f>D203-D201-D200</f>
        <v>70000</v>
      </c>
      <c r="F202" s="631" t="s">
        <v>1868</v>
      </c>
      <c r="G202" s="632"/>
      <c r="H202" s="633"/>
    </row>
    <row r="203" spans="1:9">
      <c r="A203" s="3" t="s">
        <v>1862</v>
      </c>
      <c r="B203" s="3" t="s">
        <v>1859</v>
      </c>
      <c r="D203" s="491">
        <f>C133</f>
        <v>210000</v>
      </c>
      <c r="F203" s="634" t="s">
        <v>1869</v>
      </c>
      <c r="G203" s="635"/>
      <c r="H203" s="636"/>
    </row>
    <row r="204" spans="1:9" ht="14" thickBot="1">
      <c r="F204" s="637" t="s">
        <v>1870</v>
      </c>
      <c r="G204" s="638"/>
      <c r="H204" s="639"/>
    </row>
    <row r="205" spans="1:9">
      <c r="A205" s="443" t="s">
        <v>1821</v>
      </c>
    </row>
    <row r="207" spans="1:9">
      <c r="A207" s="443" t="s">
        <v>1773</v>
      </c>
    </row>
    <row r="208" spans="1:9">
      <c r="A208" s="3" t="s">
        <v>467</v>
      </c>
      <c r="E208" s="447">
        <f>F185</f>
        <v>128000</v>
      </c>
    </row>
    <row r="210" spans="1:5">
      <c r="A210" s="3" t="s">
        <v>1774</v>
      </c>
    </row>
    <row r="212" spans="1:5">
      <c r="A212" s="613" t="s">
        <v>1775</v>
      </c>
    </row>
    <row r="213" spans="1:5">
      <c r="B213" s="3" t="s">
        <v>587</v>
      </c>
      <c r="E213" s="447">
        <f>F170</f>
        <v>8000</v>
      </c>
    </row>
    <row r="214" spans="1:5">
      <c r="B214" s="3" t="s">
        <v>1398</v>
      </c>
      <c r="E214" s="447">
        <f>F172</f>
        <v>-5000</v>
      </c>
    </row>
    <row r="216" spans="1:5">
      <c r="A216" s="613" t="s">
        <v>1776</v>
      </c>
    </row>
    <row r="217" spans="1:5">
      <c r="B217" s="3" t="s">
        <v>1811</v>
      </c>
      <c r="E217" s="447">
        <f>F162</f>
        <v>-24000</v>
      </c>
    </row>
    <row r="218" spans="1:5">
      <c r="B218" s="3" t="s">
        <v>1760</v>
      </c>
      <c r="E218" s="447">
        <f>F164</f>
        <v>6000</v>
      </c>
    </row>
    <row r="219" spans="1:5">
      <c r="B219" s="3" t="s">
        <v>1761</v>
      </c>
      <c r="E219" s="447">
        <f>F166</f>
        <v>-7000</v>
      </c>
    </row>
    <row r="220" spans="1:5">
      <c r="B220" s="3" t="s">
        <v>1822</v>
      </c>
      <c r="E220" s="447">
        <f>F175</f>
        <v>-17000</v>
      </c>
    </row>
    <row r="222" spans="1:5">
      <c r="A222" s="3" t="s">
        <v>1777</v>
      </c>
      <c r="E222" s="448">
        <f>SUM(E208:E220)</f>
        <v>89000</v>
      </c>
    </row>
    <row r="224" spans="1:5">
      <c r="A224" s="443" t="s">
        <v>1778</v>
      </c>
    </row>
    <row r="225" spans="1:5">
      <c r="A225" s="443" t="s">
        <v>1825</v>
      </c>
      <c r="E225" s="447">
        <f>G168</f>
        <v>-46000</v>
      </c>
    </row>
    <row r="226" spans="1:5">
      <c r="A226" s="3" t="s">
        <v>1784</v>
      </c>
      <c r="E226" s="447">
        <f>G170</f>
        <v>-70000</v>
      </c>
    </row>
    <row r="227" spans="1:5">
      <c r="A227" s="3" t="s">
        <v>1823</v>
      </c>
      <c r="E227" s="447">
        <f>G172</f>
        <v>37000</v>
      </c>
    </row>
    <row r="228" spans="1:5">
      <c r="A228" s="3" t="s">
        <v>1785</v>
      </c>
      <c r="E228" s="448">
        <f>SUM(E225:E227)</f>
        <v>-79000</v>
      </c>
    </row>
    <row r="230" spans="1:5">
      <c r="A230" s="443" t="s">
        <v>1779</v>
      </c>
    </row>
    <row r="231" spans="1:5">
      <c r="A231" s="3" t="s">
        <v>1824</v>
      </c>
      <c r="E231" s="447">
        <f>H177</f>
        <v>-68000</v>
      </c>
    </row>
    <row r="232" spans="1:5">
      <c r="A232" s="3" t="s">
        <v>1786</v>
      </c>
      <c r="E232" s="447">
        <f>H179</f>
        <v>72000</v>
      </c>
    </row>
    <row r="233" spans="1:5">
      <c r="A233" s="3" t="s">
        <v>1598</v>
      </c>
      <c r="E233" s="447">
        <f>H183</f>
        <v>27000</v>
      </c>
    </row>
    <row r="234" spans="1:5">
      <c r="A234" s="3" t="s">
        <v>1767</v>
      </c>
      <c r="E234" s="447">
        <f>H185</f>
        <v>-15000</v>
      </c>
    </row>
    <row r="235" spans="1:5">
      <c r="A235" s="3" t="s">
        <v>1787</v>
      </c>
      <c r="E235" s="448">
        <f>SUM(E231:E234)</f>
        <v>16000</v>
      </c>
    </row>
    <row r="239" spans="1:5">
      <c r="A239" s="443" t="s">
        <v>1780</v>
      </c>
      <c r="B239" s="443"/>
      <c r="C239" s="443"/>
      <c r="D239" s="443"/>
      <c r="E239" s="611">
        <f>E222+E228+E235</f>
        <v>26000</v>
      </c>
    </row>
    <row r="240" spans="1:5">
      <c r="A240" s="443" t="s">
        <v>1781</v>
      </c>
      <c r="B240" s="443"/>
      <c r="C240" s="443"/>
      <c r="D240" s="443"/>
      <c r="E240" s="611">
        <f>D160</f>
        <v>72000</v>
      </c>
    </row>
    <row r="241" spans="1:7">
      <c r="A241" s="443" t="s">
        <v>1782</v>
      </c>
      <c r="B241" s="443"/>
      <c r="C241" s="443"/>
      <c r="D241" s="443"/>
      <c r="E241" s="612">
        <f>E239+E240</f>
        <v>98000</v>
      </c>
    </row>
    <row r="243" spans="1:7">
      <c r="A243" s="613" t="s">
        <v>1871</v>
      </c>
    </row>
    <row r="244" spans="1:7">
      <c r="A244" s="3" t="s">
        <v>1872</v>
      </c>
    </row>
    <row r="249" spans="1:7">
      <c r="A249" s="3" t="s">
        <v>1826</v>
      </c>
    </row>
    <row r="250" spans="1:7">
      <c r="A250" s="3" t="s">
        <v>1827</v>
      </c>
    </row>
    <row r="252" spans="1:7">
      <c r="A252" s="3" t="s">
        <v>1828</v>
      </c>
    </row>
    <row r="254" spans="1:7">
      <c r="A254" s="3" t="s">
        <v>1126</v>
      </c>
      <c r="B254" s="3" t="s">
        <v>1842</v>
      </c>
      <c r="C254" s="3" t="s">
        <v>1829</v>
      </c>
      <c r="E254" s="3" t="s">
        <v>1830</v>
      </c>
      <c r="G254" s="3" t="s">
        <v>1833</v>
      </c>
    </row>
    <row r="255" spans="1:7">
      <c r="A255" s="617">
        <v>45432</v>
      </c>
      <c r="B255" s="3">
        <v>8</v>
      </c>
      <c r="C255" s="3" t="s">
        <v>1837</v>
      </c>
      <c r="E255" s="3" t="s">
        <v>1831</v>
      </c>
      <c r="G255" s="3" t="s">
        <v>1834</v>
      </c>
    </row>
    <row r="256" spans="1:7">
      <c r="A256" s="617">
        <v>45439</v>
      </c>
      <c r="B256" s="3">
        <v>9</v>
      </c>
      <c r="C256" s="3" t="s">
        <v>1832</v>
      </c>
      <c r="E256" s="3" t="s">
        <v>1836</v>
      </c>
      <c r="G256" s="3" t="s">
        <v>1835</v>
      </c>
    </row>
    <row r="257" spans="1:7">
      <c r="A257" s="617">
        <v>45446</v>
      </c>
      <c r="B257" s="3">
        <v>10</v>
      </c>
      <c r="C257" s="3" t="s">
        <v>1838</v>
      </c>
      <c r="E257" s="3" t="s">
        <v>1840</v>
      </c>
      <c r="G257" s="3" t="s">
        <v>1834</v>
      </c>
    </row>
    <row r="258" spans="1:7">
      <c r="A258" s="617">
        <v>45453</v>
      </c>
      <c r="B258" s="3">
        <v>11</v>
      </c>
      <c r="C258" s="3" t="s">
        <v>1839</v>
      </c>
      <c r="E258" s="3" t="s">
        <v>1841</v>
      </c>
      <c r="G258" s="3" t="s">
        <v>1834</v>
      </c>
    </row>
    <row r="260" spans="1:7">
      <c r="A260" s="3" t="s">
        <v>1843</v>
      </c>
    </row>
  </sheetData>
  <pageMargins left="0.7" right="0.7" top="0.75" bottom="0.75" header="0.3" footer="0.3"/>
  <ignoredErrors>
    <ignoredError sqref="C186:D186" formulaRange="1"/>
  </ignoredErrors>
  <drawing r:id="rId1"/>
  <legacy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1</vt:lpstr>
      <vt:lpstr>2</vt:lpstr>
      <vt:lpstr>2ב</vt:lpstr>
      <vt:lpstr>3</vt:lpstr>
      <vt:lpstr>4</vt:lpstr>
      <vt:lpstr>6</vt:lpstr>
      <vt:lpstr>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Tsaban Shay</cp:lastModifiedBy>
  <dcterms:created xsi:type="dcterms:W3CDTF">2021-03-04T05:25:24Z</dcterms:created>
  <dcterms:modified xsi:type="dcterms:W3CDTF">2025-04-24T16:55:08Z</dcterms:modified>
</cp:coreProperties>
</file>